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ThisWorkbook"/>
  <mc:AlternateContent xmlns:mc="http://schemas.openxmlformats.org/markup-compatibility/2006">
    <mc:Choice Requires="x15">
      <x15ac:absPath xmlns:x15ac="http://schemas.microsoft.com/office/spreadsheetml/2010/11/ac" url="C:\Users\BillJohnson\Desktop\Qld Course\"/>
    </mc:Choice>
  </mc:AlternateContent>
  <xr:revisionPtr revIDLastSave="0" documentId="13_ncr:1_{14EF7E4C-FEFC-43A2-A4A4-F390C9B7299E}" xr6:coauthVersionLast="47" xr6:coauthVersionMax="47" xr10:uidLastSave="{00000000-0000-0000-0000-000000000000}"/>
  <bookViews>
    <workbookView xWindow="-28920" yWindow="-120" windowWidth="29040" windowHeight="15720" tabRatio="707" xr2:uid="{3869F215-C403-455A-AF56-D5109BA4AC81}"/>
  </bookViews>
  <sheets>
    <sheet name="Information" sheetId="11" r:id="rId1"/>
    <sheet name="1. Erosion Haz + Basins" sheetId="1" r:id="rId2"/>
    <sheet name="2A.Type A Basins" sheetId="3" r:id="rId3"/>
    <sheet name="2B. Type B Basins" sheetId="8" r:id="rId4"/>
    <sheet name="2C. Type C Basins" sheetId="9" r:id="rId5"/>
    <sheet name="2D. Type D Basins" sheetId="10" r:id="rId6"/>
    <sheet name="3. Flow Calculations" sheetId="2" r:id="rId7"/>
  </sheets>
  <definedNames>
    <definedName name="_xlnm.Print_Area" localSheetId="1">'1. Erosion Haz + Basins'!$A$1:$H$52</definedName>
    <definedName name="_xlnm.Print_Area" localSheetId="2">'2A.Type A Basins'!$A$1:$K$58</definedName>
    <definedName name="_xlnm.Print_Area" localSheetId="3">'2B. Type B Basins'!$A$1:$K$67</definedName>
    <definedName name="_xlnm.Print_Area" localSheetId="4">'2C. Type C Basins'!$A$1:$K$37</definedName>
    <definedName name="_xlnm.Print_Area" localSheetId="5">'2D. Type D Basins'!$A$1:$K$33</definedName>
    <definedName name="_xlnm.Print_Area" localSheetId="6">'3. Flow Calculations'!$A$1:$J$53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8" l="1"/>
  <c r="B43" i="1"/>
  <c r="C43" i="1"/>
  <c r="E43" i="1"/>
  <c r="F43" i="1"/>
  <c r="E21" i="2"/>
  <c r="F21" i="2"/>
  <c r="G21" i="2"/>
  <c r="H21" i="2"/>
  <c r="I21" i="2"/>
  <c r="B21" i="2"/>
  <c r="C37" i="3"/>
  <c r="C39" i="3" s="1"/>
  <c r="F37" i="3"/>
  <c r="F39" i="3" s="1"/>
  <c r="G37" i="3"/>
  <c r="G39" i="3" s="1"/>
  <c r="H37" i="3"/>
  <c r="H39" i="3" s="1"/>
  <c r="H42" i="3" s="1"/>
  <c r="V45" i="3"/>
  <c r="V47" i="3"/>
  <c r="O34" i="8"/>
  <c r="P34" i="8"/>
  <c r="Q34" i="8"/>
  <c r="R34" i="8"/>
  <c r="S34" i="8"/>
  <c r="T34" i="8"/>
  <c r="O36" i="8"/>
  <c r="P36" i="8"/>
  <c r="Q36" i="8"/>
  <c r="R36" i="8"/>
  <c r="S36" i="8"/>
  <c r="T36" i="8"/>
  <c r="Q45" i="3"/>
  <c r="R45" i="3"/>
  <c r="S45" i="3"/>
  <c r="T45" i="3"/>
  <c r="U45" i="3"/>
  <c r="Q47" i="3"/>
  <c r="R47" i="3"/>
  <c r="S47" i="3"/>
  <c r="T47" i="3"/>
  <c r="U47" i="3"/>
  <c r="D25" i="8"/>
  <c r="D29" i="8"/>
  <c r="D30" i="8" s="1"/>
  <c r="H25" i="8"/>
  <c r="H29" i="8"/>
  <c r="H30" i="8"/>
  <c r="G25" i="8"/>
  <c r="G29" i="8"/>
  <c r="G30" i="8"/>
  <c r="F25" i="8"/>
  <c r="F29" i="8"/>
  <c r="F30" i="8"/>
  <c r="E25" i="8"/>
  <c r="E29" i="8"/>
  <c r="E30" i="8"/>
  <c r="C25" i="8"/>
  <c r="C29" i="8" s="1"/>
  <c r="C30" i="8" s="1"/>
  <c r="O32" i="9"/>
  <c r="P32" i="9"/>
  <c r="Q32" i="9"/>
  <c r="R32" i="9"/>
  <c r="S32" i="9"/>
  <c r="O30" i="9"/>
  <c r="P30" i="9"/>
  <c r="Q30" i="9"/>
  <c r="R30" i="9"/>
  <c r="S30" i="9"/>
  <c r="O47" i="10"/>
  <c r="P47" i="10"/>
  <c r="Q47" i="10"/>
  <c r="R47" i="10"/>
  <c r="S47" i="10"/>
  <c r="R45" i="10"/>
  <c r="S45" i="10"/>
  <c r="C23" i="1"/>
  <c r="D23" i="1"/>
  <c r="E23" i="1"/>
  <c r="E24" i="1"/>
  <c r="F23" i="1"/>
  <c r="F24" i="1"/>
  <c r="G23" i="1"/>
  <c r="G24" i="1"/>
  <c r="F29" i="10"/>
  <c r="G29" i="10"/>
  <c r="H29" i="10"/>
  <c r="F22" i="10"/>
  <c r="F24" i="10" s="1"/>
  <c r="F27" i="10" s="1"/>
  <c r="G22" i="10"/>
  <c r="G24" i="10" s="1"/>
  <c r="H22" i="10"/>
  <c r="H24" i="10" s="1"/>
  <c r="C61" i="8"/>
  <c r="D61" i="8"/>
  <c r="E61" i="8"/>
  <c r="F61" i="8"/>
  <c r="G61" i="8"/>
  <c r="H61" i="8"/>
  <c r="F14" i="8"/>
  <c r="G14" i="8"/>
  <c r="H14" i="8"/>
  <c r="F16" i="8"/>
  <c r="G16" i="8"/>
  <c r="H16" i="8"/>
  <c r="F18" i="8"/>
  <c r="G18" i="8"/>
  <c r="H18" i="8"/>
  <c r="E31" i="1"/>
  <c r="F31" i="1"/>
  <c r="G31" i="1"/>
  <c r="D31" i="1"/>
  <c r="F60" i="8"/>
  <c r="G60" i="8"/>
  <c r="H60" i="8"/>
  <c r="E51" i="8"/>
  <c r="E63" i="8" s="1"/>
  <c r="F51" i="8"/>
  <c r="F63" i="8"/>
  <c r="G51" i="8"/>
  <c r="G63" i="8"/>
  <c r="H51" i="8"/>
  <c r="H63" i="8"/>
  <c r="F36" i="8"/>
  <c r="G36" i="8"/>
  <c r="H36" i="8"/>
  <c r="D8" i="8"/>
  <c r="D26" i="8"/>
  <c r="E8" i="8"/>
  <c r="E37" i="8" s="1"/>
  <c r="E26" i="8"/>
  <c r="E27" i="8"/>
  <c r="E28" i="8"/>
  <c r="F8" i="8"/>
  <c r="G8" i="8"/>
  <c r="G26" i="8"/>
  <c r="H8" i="8"/>
  <c r="H26" i="8"/>
  <c r="F5" i="8"/>
  <c r="G5" i="8"/>
  <c r="H5" i="8"/>
  <c r="C8" i="8"/>
  <c r="C15" i="8" s="1"/>
  <c r="G9" i="10"/>
  <c r="H9" i="10"/>
  <c r="G10" i="10"/>
  <c r="G14" i="10" s="1"/>
  <c r="G15" i="10" s="1"/>
  <c r="G18" i="10" s="1"/>
  <c r="H10" i="10"/>
  <c r="G11" i="10"/>
  <c r="H11" i="10"/>
  <c r="G5" i="10"/>
  <c r="H5" i="10"/>
  <c r="F66" i="1"/>
  <c r="F68" i="1"/>
  <c r="G66" i="1"/>
  <c r="G68" i="1" s="1"/>
  <c r="F67" i="1"/>
  <c r="G67" i="1"/>
  <c r="D36" i="8"/>
  <c r="E36" i="8"/>
  <c r="C36" i="8"/>
  <c r="C37" i="8" s="1"/>
  <c r="C38" i="8" s="1"/>
  <c r="C49" i="8" s="1"/>
  <c r="C64" i="8" s="1"/>
  <c r="C13" i="3"/>
  <c r="D6" i="3"/>
  <c r="D10" i="3" s="1"/>
  <c r="E6" i="3"/>
  <c r="F6" i="3"/>
  <c r="F10" i="3"/>
  <c r="G6" i="3"/>
  <c r="H6" i="3"/>
  <c r="H10" i="3"/>
  <c r="D8" i="3"/>
  <c r="D16" i="3" s="1"/>
  <c r="E8" i="3"/>
  <c r="E16" i="3" s="1"/>
  <c r="F8" i="3"/>
  <c r="G8" i="3"/>
  <c r="G16" i="3" s="1"/>
  <c r="H8" i="3"/>
  <c r="H16" i="3" s="1"/>
  <c r="D13" i="3"/>
  <c r="E13" i="3"/>
  <c r="F13" i="3"/>
  <c r="F20" i="3" s="1"/>
  <c r="F14" i="3"/>
  <c r="G13" i="3"/>
  <c r="G14" i="3" s="1"/>
  <c r="H13" i="3"/>
  <c r="J53" i="2"/>
  <c r="K33" i="10"/>
  <c r="K37" i="9"/>
  <c r="K67" i="8"/>
  <c r="K58" i="3"/>
  <c r="H52" i="1"/>
  <c r="B23" i="1"/>
  <c r="B24" i="1"/>
  <c r="L39" i="3"/>
  <c r="L40" i="3"/>
  <c r="L41" i="3"/>
  <c r="L38" i="3"/>
  <c r="C12" i="9"/>
  <c r="G8" i="9"/>
  <c r="C31" i="1"/>
  <c r="B31" i="1"/>
  <c r="D29" i="10"/>
  <c r="E29" i="10"/>
  <c r="C29" i="10"/>
  <c r="D31" i="9"/>
  <c r="E31" i="9"/>
  <c r="E33" i="9"/>
  <c r="F31" i="9"/>
  <c r="G31" i="9"/>
  <c r="H31" i="9"/>
  <c r="H33" i="9"/>
  <c r="C31" i="9"/>
  <c r="C33" i="9"/>
  <c r="D60" i="8"/>
  <c r="E60" i="8"/>
  <c r="C60" i="8"/>
  <c r="D52" i="3"/>
  <c r="E52" i="3"/>
  <c r="F52" i="3"/>
  <c r="G52" i="3"/>
  <c r="H52" i="3"/>
  <c r="C52" i="3"/>
  <c r="C24" i="1"/>
  <c r="N47" i="10"/>
  <c r="O45" i="10"/>
  <c r="P45" i="10"/>
  <c r="Q45" i="10"/>
  <c r="N45" i="10"/>
  <c r="C22" i="10"/>
  <c r="C24" i="10" s="1"/>
  <c r="C27" i="10" s="1"/>
  <c r="D11" i="10"/>
  <c r="D14" i="10" s="1"/>
  <c r="D15" i="10" s="1"/>
  <c r="D18" i="10" s="1"/>
  <c r="E11" i="10"/>
  <c r="F11" i="10"/>
  <c r="C11" i="10"/>
  <c r="D10" i="10"/>
  <c r="E10" i="10"/>
  <c r="F10" i="10"/>
  <c r="C10" i="10"/>
  <c r="D9" i="10"/>
  <c r="E9" i="10"/>
  <c r="F9" i="10"/>
  <c r="C9" i="10"/>
  <c r="F5" i="10"/>
  <c r="E5" i="10"/>
  <c r="D5" i="10"/>
  <c r="C5" i="10"/>
  <c r="N32" i="9"/>
  <c r="N30" i="9"/>
  <c r="D15" i="9"/>
  <c r="E15" i="9"/>
  <c r="F15" i="9"/>
  <c r="G15" i="9"/>
  <c r="H15" i="9"/>
  <c r="C15" i="9"/>
  <c r="D12" i="9"/>
  <c r="E12" i="9"/>
  <c r="F12" i="9"/>
  <c r="G12" i="9"/>
  <c r="H12" i="9"/>
  <c r="H8" i="9"/>
  <c r="H5" i="9"/>
  <c r="G5" i="9"/>
  <c r="F5" i="9"/>
  <c r="E5" i="9"/>
  <c r="D5" i="9"/>
  <c r="C5" i="9"/>
  <c r="C5" i="8"/>
  <c r="D18" i="8"/>
  <c r="E18" i="8"/>
  <c r="C18" i="8"/>
  <c r="D16" i="8"/>
  <c r="D51" i="8"/>
  <c r="D63" i="8" s="1"/>
  <c r="E16" i="8"/>
  <c r="E14" i="8"/>
  <c r="D14" i="8"/>
  <c r="C14" i="8"/>
  <c r="C16" i="8"/>
  <c r="C51" i="8"/>
  <c r="C63" i="8" s="1"/>
  <c r="D5" i="8"/>
  <c r="C8" i="3"/>
  <c r="E67" i="1"/>
  <c r="D67" i="1"/>
  <c r="C67" i="1"/>
  <c r="B67" i="1"/>
  <c r="E66" i="1"/>
  <c r="E68" i="1" s="1"/>
  <c r="D66" i="1"/>
  <c r="D68" i="1" s="1"/>
  <c r="C66" i="1"/>
  <c r="C68" i="1" s="1"/>
  <c r="B66" i="1"/>
  <c r="B68" i="1" s="1"/>
  <c r="R22" i="3"/>
  <c r="S22" i="3"/>
  <c r="Q22" i="3"/>
  <c r="R20" i="3"/>
  <c r="S20" i="3"/>
  <c r="Q20" i="3"/>
  <c r="C6" i="3"/>
  <c r="C10" i="3"/>
  <c r="B45" i="2"/>
  <c r="E45" i="2"/>
  <c r="F45" i="2"/>
  <c r="G45" i="2"/>
  <c r="H45" i="2"/>
  <c r="I45" i="2"/>
  <c r="F46" i="2"/>
  <c r="G46" i="2"/>
  <c r="H46" i="2"/>
  <c r="I46" i="2"/>
  <c r="F47" i="2"/>
  <c r="G47" i="2"/>
  <c r="H47" i="2"/>
  <c r="I47" i="2"/>
  <c r="F48" i="2"/>
  <c r="G48" i="2"/>
  <c r="H48" i="2"/>
  <c r="I48" i="2"/>
  <c r="F49" i="2"/>
  <c r="G49" i="2"/>
  <c r="H49" i="2"/>
  <c r="I49" i="2"/>
  <c r="F50" i="2"/>
  <c r="G50" i="2"/>
  <c r="H50" i="2"/>
  <c r="I50" i="2"/>
  <c r="I44" i="2"/>
  <c r="H44" i="2"/>
  <c r="G44" i="2"/>
  <c r="F44" i="2"/>
  <c r="E46" i="2"/>
  <c r="E47" i="2"/>
  <c r="E48" i="2"/>
  <c r="E49" i="2"/>
  <c r="E50" i="2"/>
  <c r="E44" i="2"/>
  <c r="B47" i="2"/>
  <c r="B48" i="2"/>
  <c r="B49" i="2"/>
  <c r="B50" i="2"/>
  <c r="B44" i="2"/>
  <c r="D24" i="1"/>
  <c r="F8" i="9"/>
  <c r="E8" i="9"/>
  <c r="C8" i="9"/>
  <c r="D8" i="9"/>
  <c r="E22" i="10"/>
  <c r="E24" i="10" s="1"/>
  <c r="D22" i="10"/>
  <c r="D24" i="10" s="1"/>
  <c r="D27" i="10" s="1"/>
  <c r="C53" i="8"/>
  <c r="C55" i="8" s="1"/>
  <c r="C58" i="8" s="1"/>
  <c r="C26" i="8"/>
  <c r="F33" i="9"/>
  <c r="D33" i="9"/>
  <c r="H37" i="8"/>
  <c r="H38" i="8"/>
  <c r="H49" i="8"/>
  <c r="H64" i="8" s="1"/>
  <c r="H15" i="8"/>
  <c r="H17" i="8"/>
  <c r="H19" i="8"/>
  <c r="H20" i="8"/>
  <c r="H21" i="8" s="1"/>
  <c r="E24" i="9"/>
  <c r="E26" i="9" s="1"/>
  <c r="E29" i="9"/>
  <c r="E36" i="9" s="1"/>
  <c r="E35" i="9"/>
  <c r="G10" i="3"/>
  <c r="F24" i="9"/>
  <c r="F26" i="9" s="1"/>
  <c r="C24" i="9"/>
  <c r="C26" i="9" s="1"/>
  <c r="D24" i="9"/>
  <c r="D26" i="9" s="1"/>
  <c r="D29" i="9"/>
  <c r="D36" i="9" s="1"/>
  <c r="D35" i="9"/>
  <c r="H24" i="9"/>
  <c r="H26" i="9" s="1"/>
  <c r="D53" i="8"/>
  <c r="D55" i="8" s="1"/>
  <c r="D58" i="8" s="1"/>
  <c r="E53" i="8"/>
  <c r="E55" i="8" s="1"/>
  <c r="E58" i="8" s="1"/>
  <c r="G24" i="9"/>
  <c r="G26" i="9" s="1"/>
  <c r="F42" i="3"/>
  <c r="G19" i="3"/>
  <c r="F53" i="8"/>
  <c r="F55" i="8"/>
  <c r="H53" i="8"/>
  <c r="H55" i="8"/>
  <c r="H58" i="8" s="1"/>
  <c r="G53" i="8"/>
  <c r="G55" i="8"/>
  <c r="G42" i="3"/>
  <c r="F15" i="8"/>
  <c r="C16" i="9"/>
  <c r="C20" i="9"/>
  <c r="C21" i="9"/>
  <c r="H16" i="9"/>
  <c r="H20" i="9"/>
  <c r="H21" i="9"/>
  <c r="G16" i="9"/>
  <c r="G20" i="9"/>
  <c r="G21" i="9"/>
  <c r="F16" i="9"/>
  <c r="F32" i="9"/>
  <c r="E16" i="9"/>
  <c r="E20" i="9"/>
  <c r="E21" i="9"/>
  <c r="D16" i="9"/>
  <c r="D22" i="9"/>
  <c r="D34" i="9"/>
  <c r="G33" i="9"/>
  <c r="F17" i="8"/>
  <c r="F19" i="8"/>
  <c r="F20" i="8"/>
  <c r="F21" i="8"/>
  <c r="F26" i="8"/>
  <c r="F27" i="8"/>
  <c r="F28" i="8"/>
  <c r="F31" i="8"/>
  <c r="F37" i="8"/>
  <c r="G37" i="8"/>
  <c r="G39" i="8"/>
  <c r="G41" i="8"/>
  <c r="G42" i="8"/>
  <c r="G15" i="8"/>
  <c r="G50" i="8"/>
  <c r="G62" i="8" s="1"/>
  <c r="H50" i="8"/>
  <c r="H62" i="8" s="1"/>
  <c r="H39" i="8"/>
  <c r="H40" i="8"/>
  <c r="G27" i="8"/>
  <c r="G28" i="8"/>
  <c r="G31" i="8"/>
  <c r="H65" i="8"/>
  <c r="H66" i="8"/>
  <c r="H27" i="8"/>
  <c r="H28" i="8"/>
  <c r="H31" i="8"/>
  <c r="E31" i="8"/>
  <c r="D27" i="8"/>
  <c r="D28" i="8"/>
  <c r="D31" i="8"/>
  <c r="G38" i="8"/>
  <c r="G49" i="8"/>
  <c r="G64" i="8"/>
  <c r="H22" i="9"/>
  <c r="C22" i="9"/>
  <c r="H32" i="9"/>
  <c r="C32" i="9"/>
  <c r="E22" i="9"/>
  <c r="E32" i="9"/>
  <c r="D32" i="9"/>
  <c r="D20" i="9"/>
  <c r="D21" i="9"/>
  <c r="G32" i="9"/>
  <c r="G22" i="9"/>
  <c r="F20" i="9"/>
  <c r="F21" i="9"/>
  <c r="F22" i="9"/>
  <c r="G40" i="8"/>
  <c r="G44" i="8"/>
  <c r="H44" i="8"/>
  <c r="H46" i="8"/>
  <c r="F39" i="8"/>
  <c r="F38" i="8"/>
  <c r="F49" i="8"/>
  <c r="F64" i="8" s="1"/>
  <c r="F50" i="8"/>
  <c r="F62" i="8"/>
  <c r="G17" i="8"/>
  <c r="G19" i="8"/>
  <c r="G20" i="8"/>
  <c r="G21" i="8" s="1"/>
  <c r="G58" i="8"/>
  <c r="G65" i="8"/>
  <c r="G66" i="8"/>
  <c r="H41" i="8"/>
  <c r="H42" i="8"/>
  <c r="H43" i="8"/>
  <c r="H45" i="8"/>
  <c r="H47" i="8"/>
  <c r="G43" i="8"/>
  <c r="G45" i="8"/>
  <c r="G47" i="8"/>
  <c r="G46" i="8"/>
  <c r="F34" i="9"/>
  <c r="F29" i="9"/>
  <c r="F36" i="9" s="1"/>
  <c r="G34" i="9"/>
  <c r="G29" i="9"/>
  <c r="G36" i="9" s="1"/>
  <c r="E34" i="9"/>
  <c r="C34" i="9"/>
  <c r="C29" i="9"/>
  <c r="C36" i="9" s="1"/>
  <c r="H34" i="9"/>
  <c r="H29" i="9"/>
  <c r="H36" i="9" s="1"/>
  <c r="F58" i="8"/>
  <c r="F65" i="8"/>
  <c r="F40" i="8"/>
  <c r="F41" i="8"/>
  <c r="F42" i="8"/>
  <c r="F44" i="8"/>
  <c r="F66" i="8"/>
  <c r="C35" i="9"/>
  <c r="F35" i="9"/>
  <c r="H35" i="9"/>
  <c r="G35" i="9"/>
  <c r="F46" i="8"/>
  <c r="F43" i="8"/>
  <c r="F45" i="8"/>
  <c r="F47" i="8"/>
  <c r="E65" i="8" l="1"/>
  <c r="C50" i="8"/>
  <c r="C62" i="8" s="1"/>
  <c r="C17" i="8"/>
  <c r="C19" i="8"/>
  <c r="C20" i="8" s="1"/>
  <c r="C21" i="8" s="1"/>
  <c r="D37" i="8"/>
  <c r="E15" i="8"/>
  <c r="E19" i="8" s="1"/>
  <c r="E20" i="8" s="1"/>
  <c r="E21" i="8" s="1"/>
  <c r="D15" i="8"/>
  <c r="D19" i="8" s="1"/>
  <c r="D20" i="8" s="1"/>
  <c r="D21" i="8" s="1"/>
  <c r="E38" i="8"/>
  <c r="E49" i="8" s="1"/>
  <c r="E64" i="8" s="1"/>
  <c r="E66" i="8" s="1"/>
  <c r="E50" i="8"/>
  <c r="E62" i="8" s="1"/>
  <c r="D65" i="8"/>
  <c r="E39" i="8"/>
  <c r="D39" i="8"/>
  <c r="D40" i="8" s="1"/>
  <c r="C65" i="8"/>
  <c r="C66" i="8" s="1"/>
  <c r="C39" i="8"/>
  <c r="C40" i="8" s="1"/>
  <c r="C27" i="8"/>
  <c r="C28" i="8" s="1"/>
  <c r="C31" i="8" s="1"/>
  <c r="D17" i="8"/>
  <c r="C45" i="2"/>
  <c r="C44" i="2"/>
  <c r="C46" i="2"/>
  <c r="C47" i="2"/>
  <c r="C48" i="2"/>
  <c r="C49" i="2"/>
  <c r="C21" i="2"/>
  <c r="C50" i="2"/>
  <c r="B46" i="2"/>
  <c r="C35" i="1"/>
  <c r="F35" i="1"/>
  <c r="E20" i="3"/>
  <c r="D20" i="3"/>
  <c r="D21" i="3" s="1"/>
  <c r="D22" i="3" s="1"/>
  <c r="D53" i="3" s="1"/>
  <c r="C20" i="3"/>
  <c r="C19" i="3"/>
  <c r="F40" i="1"/>
  <c r="R46" i="10" s="1"/>
  <c r="F16" i="3"/>
  <c r="C16" i="3"/>
  <c r="E10" i="3"/>
  <c r="E14" i="3" s="1"/>
  <c r="H14" i="3"/>
  <c r="G20" i="3"/>
  <c r="G21" i="3" s="1"/>
  <c r="G22" i="3" s="1"/>
  <c r="G53" i="3" s="1"/>
  <c r="G57" i="3" s="1"/>
  <c r="D14" i="3"/>
  <c r="C14" i="3"/>
  <c r="F19" i="3"/>
  <c r="F21" i="3" s="1"/>
  <c r="F22" i="3" s="1"/>
  <c r="F53" i="3" s="1"/>
  <c r="F57" i="3" s="1"/>
  <c r="H19" i="3"/>
  <c r="D19" i="3"/>
  <c r="H20" i="3"/>
  <c r="H21" i="3" s="1"/>
  <c r="H22" i="3" s="1"/>
  <c r="H53" i="3" s="1"/>
  <c r="H57" i="3" s="1"/>
  <c r="C14" i="10"/>
  <c r="C15" i="10" s="1"/>
  <c r="C18" i="10" s="1"/>
  <c r="C20" i="10" s="1"/>
  <c r="E14" i="10"/>
  <c r="E15" i="10" s="1"/>
  <c r="E18" i="10" s="1"/>
  <c r="E20" i="10" s="1"/>
  <c r="E30" i="10"/>
  <c r="D20" i="10"/>
  <c r="D30" i="10" s="1"/>
  <c r="G20" i="10"/>
  <c r="G30" i="10" s="1"/>
  <c r="E27" i="10"/>
  <c r="G27" i="10"/>
  <c r="G31" i="10" s="1"/>
  <c r="G32" i="10" s="1"/>
  <c r="F31" i="10"/>
  <c r="F32" i="10" s="1"/>
  <c r="E31" i="10"/>
  <c r="D31" i="10"/>
  <c r="D32" i="10" s="1"/>
  <c r="D35" i="1"/>
  <c r="D40" i="1" s="1"/>
  <c r="D43" i="1" s="1"/>
  <c r="G35" i="1"/>
  <c r="G40" i="1" s="1"/>
  <c r="G43" i="1" s="1"/>
  <c r="E35" i="1"/>
  <c r="E40" i="1" s="1"/>
  <c r="E41" i="1" s="1"/>
  <c r="C40" i="1"/>
  <c r="P35" i="8" s="1"/>
  <c r="B35" i="1"/>
  <c r="B40" i="1" s="1"/>
  <c r="B42" i="1" s="1"/>
  <c r="E51" i="1"/>
  <c r="U46" i="3"/>
  <c r="C30" i="10"/>
  <c r="F14" i="10"/>
  <c r="F15" i="10" s="1"/>
  <c r="F18" i="10" s="1"/>
  <c r="F20" i="10" s="1"/>
  <c r="F30" i="10" s="1"/>
  <c r="H14" i="10"/>
  <c r="H15" i="10" s="1"/>
  <c r="H18" i="10" s="1"/>
  <c r="H20" i="10" s="1"/>
  <c r="H30" i="10" s="1"/>
  <c r="C31" i="10"/>
  <c r="C32" i="10" s="1"/>
  <c r="E17" i="8" l="1"/>
  <c r="D38" i="8"/>
  <c r="D49" i="8" s="1"/>
  <c r="D64" i="8" s="1"/>
  <c r="D66" i="8" s="1"/>
  <c r="D50" i="8"/>
  <c r="D62" i="8" s="1"/>
  <c r="F42" i="1"/>
  <c r="C21" i="3"/>
  <c r="C22" i="3" s="1"/>
  <c r="C42" i="3" s="1"/>
  <c r="E40" i="8"/>
  <c r="E41" i="8"/>
  <c r="E42" i="8" s="1"/>
  <c r="E43" i="8" s="1"/>
  <c r="E45" i="8" s="1"/>
  <c r="E47" i="8" s="1"/>
  <c r="E44" i="8"/>
  <c r="D41" i="8"/>
  <c r="D42" i="8" s="1"/>
  <c r="D43" i="8" s="1"/>
  <c r="D45" i="8" s="1"/>
  <c r="D47" i="8" s="1"/>
  <c r="D44" i="8"/>
  <c r="D46" i="8" s="1"/>
  <c r="C44" i="8"/>
  <c r="C46" i="8" s="1"/>
  <c r="C41" i="8"/>
  <c r="C42" i="8" s="1"/>
  <c r="C43" i="8" s="1"/>
  <c r="C45" i="8" s="1"/>
  <c r="C47" i="8" s="1"/>
  <c r="D49" i="2"/>
  <c r="D45" i="2"/>
  <c r="D46" i="2"/>
  <c r="D47" i="2"/>
  <c r="D48" i="2"/>
  <c r="D50" i="2"/>
  <c r="D44" i="2"/>
  <c r="D21" i="2"/>
  <c r="E19" i="3"/>
  <c r="E21" i="3" s="1"/>
  <c r="E22" i="3" s="1"/>
  <c r="C51" i="1"/>
  <c r="S35" i="8"/>
  <c r="R31" i="9"/>
  <c r="F51" i="1"/>
  <c r="F41" i="1"/>
  <c r="E32" i="10"/>
  <c r="O46" i="10"/>
  <c r="R46" i="3"/>
  <c r="D37" i="3" s="1"/>
  <c r="D39" i="3" s="1"/>
  <c r="D42" i="3" s="1"/>
  <c r="Q31" i="9"/>
  <c r="C41" i="1"/>
  <c r="O31" i="9"/>
  <c r="C42" i="1"/>
  <c r="T46" i="3"/>
  <c r="E42" i="1"/>
  <c r="Q46" i="10"/>
  <c r="R35" i="8"/>
  <c r="H23" i="3"/>
  <c r="G23" i="3"/>
  <c r="F23" i="3"/>
  <c r="D23" i="3"/>
  <c r="H27" i="10"/>
  <c r="P31" i="9"/>
  <c r="D41" i="1"/>
  <c r="Q35" i="8"/>
  <c r="S46" i="3"/>
  <c r="E37" i="3" s="1"/>
  <c r="E39" i="3" s="1"/>
  <c r="D51" i="1"/>
  <c r="P46" i="10"/>
  <c r="D42" i="1"/>
  <c r="G41" i="1"/>
  <c r="S46" i="10"/>
  <c r="G51" i="1"/>
  <c r="S31" i="9"/>
  <c r="V46" i="3"/>
  <c r="G42" i="1"/>
  <c r="T35" i="8"/>
  <c r="B51" i="1"/>
  <c r="N46" i="10"/>
  <c r="O35" i="8"/>
  <c r="N31" i="9"/>
  <c r="B41" i="1"/>
  <c r="Q46" i="3"/>
  <c r="E53" i="3" l="1"/>
  <c r="E23" i="3"/>
  <c r="E26" i="3" s="1"/>
  <c r="C23" i="3"/>
  <c r="C54" i="3" s="1"/>
  <c r="E42" i="3"/>
  <c r="C53" i="3"/>
  <c r="E46" i="8"/>
  <c r="D54" i="3"/>
  <c r="D26" i="3"/>
  <c r="H54" i="3"/>
  <c r="H26" i="3"/>
  <c r="F54" i="3"/>
  <c r="F26" i="3"/>
  <c r="G54" i="3"/>
  <c r="G26" i="3"/>
  <c r="H31" i="10"/>
  <c r="H32" i="10" s="1"/>
  <c r="E54" i="3" l="1"/>
  <c r="C26" i="3"/>
  <c r="C32" i="3" s="1"/>
  <c r="H27" i="3"/>
  <c r="H33" i="3" s="1"/>
  <c r="H32" i="3"/>
  <c r="H28" i="3"/>
  <c r="F27" i="3"/>
  <c r="F33" i="3" s="1"/>
  <c r="F32" i="3"/>
  <c r="F28" i="3"/>
  <c r="G32" i="3"/>
  <c r="G27" i="3"/>
  <c r="G33" i="3" s="1"/>
  <c r="G28" i="3"/>
  <c r="E27" i="3"/>
  <c r="E33" i="3" s="1"/>
  <c r="E32" i="3"/>
  <c r="E28" i="3"/>
  <c r="D28" i="3"/>
  <c r="D27" i="3"/>
  <c r="D33" i="3" s="1"/>
  <c r="D32" i="3"/>
  <c r="C27" i="3" l="1"/>
  <c r="C33" i="3" s="1"/>
  <c r="C46" i="3" s="1"/>
  <c r="C28" i="3"/>
  <c r="G35" i="3"/>
  <c r="G45" i="3"/>
  <c r="G47" i="3"/>
  <c r="E46" i="3"/>
  <c r="E34" i="3"/>
  <c r="E55" i="3" s="1"/>
  <c r="C35" i="3"/>
  <c r="C47" i="3"/>
  <c r="C45" i="3"/>
  <c r="F47" i="3"/>
  <c r="F45" i="3"/>
  <c r="F48" i="3" s="1"/>
  <c r="F35" i="3"/>
  <c r="H35" i="3"/>
  <c r="H47" i="3"/>
  <c r="H45" i="3"/>
  <c r="E35" i="3"/>
  <c r="E45" i="3"/>
  <c r="E47" i="3"/>
  <c r="G34" i="3"/>
  <c r="G55" i="3" s="1"/>
  <c r="G46" i="3"/>
  <c r="F34" i="3"/>
  <c r="F55" i="3" s="1"/>
  <c r="F46" i="3"/>
  <c r="D45" i="3"/>
  <c r="D47" i="3"/>
  <c r="D35" i="3"/>
  <c r="D34" i="3"/>
  <c r="D55" i="3" s="1"/>
  <c r="D46" i="3"/>
  <c r="H46" i="3"/>
  <c r="H34" i="3"/>
  <c r="H55" i="3" s="1"/>
  <c r="C34" i="3" l="1"/>
  <c r="C55" i="3" s="1"/>
  <c r="C48" i="3"/>
  <c r="C56" i="3" s="1"/>
  <c r="C57" i="3" s="1"/>
  <c r="H48" i="3"/>
  <c r="F56" i="3"/>
  <c r="F49" i="3"/>
  <c r="G48" i="3"/>
  <c r="E48" i="3"/>
  <c r="D48" i="3"/>
  <c r="C49" i="3" l="1"/>
  <c r="D56" i="3"/>
  <c r="D57" i="3" s="1"/>
  <c r="D49" i="3"/>
  <c r="G56" i="3"/>
  <c r="G49" i="3"/>
  <c r="E56" i="3"/>
  <c r="E57" i="3" s="1"/>
  <c r="E49" i="3"/>
  <c r="H49" i="3"/>
  <c r="H5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36" authorId="0" shapeId="0" xr:uid="{4B0E29EB-ED66-4CAD-88EC-372CE3B25EE4}">
      <text>
        <r>
          <rPr>
            <sz val="10"/>
            <rFont val="Arial"/>
            <family val="2"/>
          </rPr>
          <t>The default is 1.3 on construction sites or anywhere the soil is hard and compact</t>
        </r>
      </text>
    </comment>
    <comment ref="C36" authorId="0" shapeId="0" xr:uid="{DC881235-383F-4218-80DB-1D5072897FA2}">
      <text>
        <r>
          <rPr>
            <sz val="10"/>
            <rFont val="Arial"/>
            <family val="2"/>
          </rPr>
          <t>The default is 1.3 on construction sites or anywhere the soil is hard and compact</t>
        </r>
      </text>
    </comment>
    <comment ref="D36" authorId="0" shapeId="0" xr:uid="{F74D8D62-66FE-4BDB-BB64-A97B3C79F7D9}">
      <text>
        <r>
          <rPr>
            <sz val="10"/>
            <rFont val="Arial"/>
            <family val="2"/>
          </rPr>
          <t>The default is 1.3 on construction sites or anywhere the soil is hard and compact</t>
        </r>
      </text>
    </comment>
    <comment ref="E36" authorId="0" shapeId="0" xr:uid="{47A57652-4703-43A4-A005-6097FAC0D73D}">
      <text>
        <r>
          <rPr>
            <sz val="10"/>
            <rFont val="Arial"/>
            <family val="2"/>
          </rPr>
          <t>The default is 1.3 on construction sites or anywhere the soil is hard and compact</t>
        </r>
      </text>
    </comment>
    <comment ref="F36" authorId="0" shapeId="0" xr:uid="{8D56B7CE-ACEB-46B3-A45F-E1F6F8771CFA}">
      <text>
        <r>
          <rPr>
            <sz val="10"/>
            <rFont val="Arial"/>
            <family val="2"/>
          </rPr>
          <t>The default is 1.3 on construction sites or anywhere the soil is hard and compact</t>
        </r>
      </text>
    </comment>
    <comment ref="G36" authorId="0" shapeId="0" xr:uid="{64A8E06F-AEC2-42D6-93C2-5145DFDD2449}">
      <text>
        <r>
          <rPr>
            <sz val="10"/>
            <rFont val="Arial"/>
            <family val="2"/>
          </rPr>
          <t>The default is 1.3 on construction sites or anywhere the soil is hard and compact</t>
        </r>
      </text>
    </comment>
    <comment ref="B37" authorId="0" shapeId="0" xr:uid="{2AF31494-5A74-4C9F-B273-399A511E8F92}">
      <text>
        <r>
          <rPr>
            <sz val="10"/>
            <rFont val="Arial"/>
            <family val="2"/>
          </rPr>
          <t>The default is 1.0 on construction sites or anywhere the topsoil has been stripped, i.e. no vegetative cover and no root mass remaining</t>
        </r>
      </text>
    </comment>
    <comment ref="C37" authorId="0" shapeId="0" xr:uid="{4A1B1591-8B26-4CEB-9FC9-1D24755B040B}">
      <text>
        <r>
          <rPr>
            <sz val="10"/>
            <rFont val="Arial"/>
            <family val="2"/>
          </rPr>
          <t>The default is 1.0 on construction sites or anywhere the topsoil has been stripped, i.e. no vegetative cover and no root mass remaining</t>
        </r>
      </text>
    </comment>
    <comment ref="D37" authorId="0" shapeId="0" xr:uid="{B6A89A99-B2F2-49FF-81CF-A1E8AEC9C515}">
      <text>
        <r>
          <rPr>
            <sz val="10"/>
            <rFont val="Arial"/>
            <family val="2"/>
          </rPr>
          <t>The default is 1.0 on construction sites or anywhere the topsoil has been stripped, i.e. no vegetative cover and no root mass remaining</t>
        </r>
      </text>
    </comment>
    <comment ref="E37" authorId="0" shapeId="0" xr:uid="{937CB530-E939-44BB-9FD0-97A2AFF812F1}">
      <text>
        <r>
          <rPr>
            <sz val="10"/>
            <rFont val="Arial"/>
            <family val="2"/>
          </rPr>
          <t>The default is 1.0 on construction sites or anywhere the topsoil has been stripped, i.e. no vegetative cover and no root mass remaining</t>
        </r>
      </text>
    </comment>
    <comment ref="F37" authorId="0" shapeId="0" xr:uid="{2307D648-5085-4B1E-8E46-9C6BD09744E1}">
      <text>
        <r>
          <rPr>
            <sz val="10"/>
            <rFont val="Arial"/>
            <family val="2"/>
          </rPr>
          <t>The default is 1.0 on construction sites or anywhere the topsoil has been stripped, i.e. no vegetative cover and no root mass remaining</t>
        </r>
      </text>
    </comment>
    <comment ref="G37" authorId="0" shapeId="0" xr:uid="{105B060D-F49B-4A93-9867-FEEB4D887C6F}">
      <text>
        <r>
          <rPr>
            <sz val="10"/>
            <rFont val="Arial"/>
            <family val="2"/>
          </rPr>
          <t>The default is 1.0 on construction sites or anywhere the topsoil has been stripped, i.e. no vegetative cover and no root mass remaining</t>
        </r>
      </text>
    </comment>
  </commentList>
</comments>
</file>

<file path=xl/sharedStrings.xml><?xml version="1.0" encoding="utf-8"?>
<sst xmlns="http://schemas.openxmlformats.org/spreadsheetml/2006/main" count="535" uniqueCount="405">
  <si>
    <t>% of whole soil dispersible</t>
  </si>
  <si>
    <t xml:space="preserve">A </t>
  </si>
  <si>
    <t>C</t>
  </si>
  <si>
    <t>D</t>
  </si>
  <si>
    <t>F</t>
  </si>
  <si>
    <t xml:space="preserve">is the average rainfall intensity (mm/hr) for an ARI of "Y" years </t>
  </si>
  <si>
    <t>is the catchment area in hectares (ha)</t>
  </si>
  <si>
    <t>Peak flow is given by the Rational Formula:</t>
  </si>
  <si>
    <t>Site Location:</t>
  </si>
  <si>
    <t>Site Name:</t>
  </si>
  <si>
    <t>Soil Loss Class</t>
  </si>
  <si>
    <t>Soil Texture Group</t>
  </si>
  <si>
    <t>where:</t>
  </si>
  <si>
    <r>
      <t>F</t>
    </r>
    <r>
      <rPr>
        <vertAlign val="subscript"/>
        <sz val="10"/>
        <rFont val="Arial"/>
        <family val="2"/>
      </rPr>
      <t>y</t>
    </r>
  </si>
  <si>
    <r>
      <t>C</t>
    </r>
    <r>
      <rPr>
        <vertAlign val="subscript"/>
        <sz val="10"/>
        <rFont val="Arial"/>
        <family val="2"/>
      </rPr>
      <t>10</t>
    </r>
  </si>
  <si>
    <r>
      <t>Q</t>
    </r>
    <r>
      <rPr>
        <vertAlign val="subscript"/>
        <sz val="10"/>
        <rFont val="Arial"/>
        <family val="2"/>
      </rPr>
      <t>y</t>
    </r>
  </si>
  <si>
    <r>
      <t>I</t>
    </r>
    <r>
      <rPr>
        <vertAlign val="subscript"/>
        <sz val="10"/>
        <rFont val="Arial"/>
        <family val="2"/>
      </rPr>
      <t xml:space="preserve">y, tc </t>
    </r>
  </si>
  <si>
    <t>Site area</t>
  </si>
  <si>
    <t>Total catchment area (ha)</t>
  </si>
  <si>
    <t>Disturbed catchment area (ha)</t>
  </si>
  <si>
    <t>% clay (fraction finer than 0.002 mm)</t>
  </si>
  <si>
    <t>% silt (fraction 0.002 to 0.02 mm)</t>
  </si>
  <si>
    <t>Dispersion percentage</t>
  </si>
  <si>
    <t>E.g. enter 10 for dispersion of 10%</t>
  </si>
  <si>
    <t>Rainfall data</t>
  </si>
  <si>
    <t>Design rainfall depth (percentile)</t>
  </si>
  <si>
    <t>Slope length (m)</t>
  </si>
  <si>
    <t>Slope gradient  (%)</t>
  </si>
  <si>
    <r>
      <t>Length/gradient (</t>
    </r>
    <r>
      <rPr>
        <i/>
        <sz val="9"/>
        <rFont val="Arial Narrow"/>
        <family val="2"/>
      </rPr>
      <t>LS</t>
    </r>
    <r>
      <rPr>
        <sz val="9"/>
        <rFont val="Arial Narrow"/>
        <family val="2"/>
      </rPr>
      <t>-factor)</t>
    </r>
  </si>
  <si>
    <r>
      <t>Soil erodibility (</t>
    </r>
    <r>
      <rPr>
        <i/>
        <sz val="9"/>
        <rFont val="Arial Narrow"/>
        <family val="2"/>
      </rPr>
      <t>K</t>
    </r>
    <r>
      <rPr>
        <sz val="9"/>
        <rFont val="Arial Narrow"/>
        <family val="2"/>
      </rPr>
      <t>-factor)</t>
    </r>
  </si>
  <si>
    <r>
      <t>Erosion control practice (</t>
    </r>
    <r>
      <rPr>
        <i/>
        <sz val="9"/>
        <rFont val="Arial Narrow"/>
        <family val="2"/>
      </rPr>
      <t>P</t>
    </r>
    <r>
      <rPr>
        <sz val="9"/>
        <rFont val="Arial Narrow"/>
        <family val="2"/>
      </rPr>
      <t>-factor)</t>
    </r>
  </si>
  <si>
    <r>
      <t>Ground cover (</t>
    </r>
    <r>
      <rPr>
        <i/>
        <sz val="9"/>
        <rFont val="Arial Narrow"/>
        <family val="2"/>
      </rPr>
      <t>C</t>
    </r>
    <r>
      <rPr>
        <sz val="9"/>
        <rFont val="Arial Narrow"/>
        <family val="2"/>
      </rPr>
      <t>-factor)</t>
    </r>
  </si>
  <si>
    <t>Soil loss (t/ha/yr)</t>
  </si>
  <si>
    <r>
      <t>Soil loss (m</t>
    </r>
    <r>
      <rPr>
        <vertAlign val="superscript"/>
        <sz val="9"/>
        <rFont val="Arial Narrow"/>
        <family val="2"/>
      </rPr>
      <t>3</t>
    </r>
    <r>
      <rPr>
        <sz val="9"/>
        <rFont val="Arial Narrow"/>
        <family val="2"/>
      </rPr>
      <t>/ha/yr)</t>
    </r>
  </si>
  <si>
    <r>
      <t>is peak flow rate (m</t>
    </r>
    <r>
      <rPr>
        <vertAlign val="superscript"/>
        <sz val="10"/>
        <rFont val="Arial"/>
        <family val="2"/>
      </rPr>
      <t>3</t>
    </r>
    <r>
      <rPr>
        <sz val="10"/>
        <rFont val="Arial"/>
        <family val="2"/>
      </rPr>
      <t>/sec) of average recurrence interval (ARI) of "Y" years</t>
    </r>
  </si>
  <si>
    <t>and a design duration of "tc" (minutes or hours)</t>
  </si>
  <si>
    <t>Sediment Type (C, F or D) if known:</t>
  </si>
  <si>
    <t>IFD: 2-year, 6-hour storm (if known)</t>
  </si>
  <si>
    <t>Soil analysis (enter sediment type if known, or laboratory particle size data)</t>
  </si>
  <si>
    <t>Automatic calculation from above</t>
  </si>
  <si>
    <t>% sand (fraction 0.02 to 2.00 mm)</t>
  </si>
  <si>
    <t>Rainfall R-factor (if known)</t>
  </si>
  <si>
    <t>1. Erosion Hazard and Sediment Basins</t>
  </si>
  <si>
    <t>Sub-catchment or Name of Structure</t>
  </si>
  <si>
    <t>Notes</t>
  </si>
  <si>
    <t>Enter the percentage of each soil fraction. E.g. enter 10 for 10%</t>
  </si>
  <si>
    <t>Design rainfall depth (no of days)</t>
  </si>
  <si>
    <t>Only need to enter one or the other here</t>
  </si>
  <si>
    <t>Precinct/Stage:</t>
  </si>
  <si>
    <t>Other Details:</t>
  </si>
  <si>
    <t xml:space="preserve">is the runoff coefficient (dimensionless) for ARI of 10 years. </t>
  </si>
  <si>
    <t xml:space="preserve">is a frequency factor for "Y" years.  </t>
  </si>
  <si>
    <r>
      <t>Qy = 0.00278 x C</t>
    </r>
    <r>
      <rPr>
        <vertAlign val="subscript"/>
        <sz val="10"/>
        <rFont val="Arial"/>
        <family val="2"/>
      </rPr>
      <t>10</t>
    </r>
    <r>
      <rPr>
        <sz val="10"/>
        <rFont val="Arial"/>
        <family val="2"/>
      </rPr>
      <t xml:space="preserve"> x F</t>
    </r>
    <r>
      <rPr>
        <vertAlign val="subscript"/>
        <sz val="10"/>
        <rFont val="Arial"/>
        <family val="2"/>
      </rPr>
      <t>Y</t>
    </r>
    <r>
      <rPr>
        <sz val="10"/>
        <rFont val="Arial"/>
        <family val="2"/>
      </rPr>
      <t xml:space="preserve"> x I</t>
    </r>
    <r>
      <rPr>
        <vertAlign val="subscript"/>
        <sz val="10"/>
        <rFont val="Arial"/>
        <family val="2"/>
      </rPr>
      <t>y, tc</t>
    </r>
    <r>
      <rPr>
        <sz val="10"/>
        <rFont val="Arial"/>
        <family val="2"/>
      </rPr>
      <t xml:space="preserve"> x A </t>
    </r>
  </si>
  <si>
    <t>Catchment Area (ha)</t>
  </si>
  <si>
    <t>Rainfall Intensities</t>
  </si>
  <si>
    <t>1-year, tc</t>
  </si>
  <si>
    <t>5-year, tc</t>
  </si>
  <si>
    <t>10-year, tc</t>
  </si>
  <si>
    <t>20-year, tc</t>
  </si>
  <si>
    <t>50-year, tc</t>
  </si>
  <si>
    <t>100-year, tc</t>
  </si>
  <si>
    <t>C10 runoff coefficient</t>
  </si>
  <si>
    <t>Frequency Factors</t>
  </si>
  <si>
    <t>FF, 1-year</t>
  </si>
  <si>
    <t>FF, 5-year</t>
  </si>
  <si>
    <t>FF, 10-year</t>
  </si>
  <si>
    <t>FF, 20-year</t>
  </si>
  <si>
    <t>FF, 50-year</t>
  </si>
  <si>
    <t>FF, 100-year</t>
  </si>
  <si>
    <t>Flow Calculations</t>
  </si>
  <si>
    <r>
      <t>1-year, tc (m</t>
    </r>
    <r>
      <rPr>
        <b/>
        <vertAlign val="superscript"/>
        <sz val="9"/>
        <rFont val="Arial Narrow"/>
        <family val="2"/>
      </rPr>
      <t>3</t>
    </r>
    <r>
      <rPr>
        <b/>
        <sz val="9"/>
        <rFont val="Arial Narrow"/>
        <family val="2"/>
      </rPr>
      <t>/s)</t>
    </r>
  </si>
  <si>
    <r>
      <t>5-year, tc (m</t>
    </r>
    <r>
      <rPr>
        <b/>
        <vertAlign val="superscript"/>
        <sz val="9"/>
        <rFont val="Arial Narrow"/>
        <family val="2"/>
      </rPr>
      <t>3</t>
    </r>
    <r>
      <rPr>
        <b/>
        <sz val="9"/>
        <rFont val="Arial Narrow"/>
        <family val="2"/>
      </rPr>
      <t>/s)</t>
    </r>
  </si>
  <si>
    <r>
      <t>10-year, tc (m</t>
    </r>
    <r>
      <rPr>
        <b/>
        <vertAlign val="superscript"/>
        <sz val="9"/>
        <rFont val="Arial Narrow"/>
        <family val="2"/>
      </rPr>
      <t>3</t>
    </r>
    <r>
      <rPr>
        <b/>
        <sz val="9"/>
        <rFont val="Arial Narrow"/>
        <family val="2"/>
      </rPr>
      <t>/s)</t>
    </r>
  </si>
  <si>
    <r>
      <t>20-year, tc (m</t>
    </r>
    <r>
      <rPr>
        <b/>
        <vertAlign val="superscript"/>
        <sz val="9"/>
        <rFont val="Arial Narrow"/>
        <family val="2"/>
      </rPr>
      <t>3</t>
    </r>
    <r>
      <rPr>
        <b/>
        <sz val="9"/>
        <rFont val="Arial Narrow"/>
        <family val="2"/>
      </rPr>
      <t>/s)</t>
    </r>
  </si>
  <si>
    <r>
      <t>50-year, tc (m</t>
    </r>
    <r>
      <rPr>
        <b/>
        <vertAlign val="superscript"/>
        <sz val="9"/>
        <rFont val="Arial Narrow"/>
        <family val="2"/>
      </rPr>
      <t>3</t>
    </r>
    <r>
      <rPr>
        <b/>
        <sz val="9"/>
        <rFont val="Arial Narrow"/>
        <family val="2"/>
      </rPr>
      <t>/s)</t>
    </r>
  </si>
  <si>
    <r>
      <t>100-year, tc (m</t>
    </r>
    <r>
      <rPr>
        <b/>
        <vertAlign val="superscript"/>
        <sz val="9"/>
        <rFont val="Arial Narrow"/>
        <family val="2"/>
      </rPr>
      <t>3</t>
    </r>
    <r>
      <rPr>
        <b/>
        <sz val="9"/>
        <rFont val="Arial Narrow"/>
        <family val="2"/>
      </rPr>
      <t>/s)</t>
    </r>
  </si>
  <si>
    <t>Structure Details</t>
  </si>
  <si>
    <t>Name</t>
  </si>
  <si>
    <t>Can use 0.8 for a construction site</t>
  </si>
  <si>
    <t>Can use 0.95 for a construction site</t>
  </si>
  <si>
    <t>Generally always 1</t>
  </si>
  <si>
    <t>Can use 1.05 for a construction site</t>
  </si>
  <si>
    <t>Can use 1.15 for a construction site</t>
  </si>
  <si>
    <t>Can use 1.2 for a construction site</t>
  </si>
  <si>
    <t>Enter the relevant rainfall intensities (in mm/hr) for each of the nominated rainfall events. 
The time of concentration (tc) determines the duration of the event to be used</t>
  </si>
  <si>
    <t>minutes</t>
  </si>
  <si>
    <t>2-year, tc</t>
  </si>
  <si>
    <t>FF, 2-year</t>
  </si>
  <si>
    <t>Can use 0.85 for a construction site</t>
  </si>
  <si>
    <r>
      <t>2-year, tc (m</t>
    </r>
    <r>
      <rPr>
        <b/>
        <vertAlign val="superscript"/>
        <sz val="9"/>
        <rFont val="Arial Narrow"/>
        <family val="2"/>
      </rPr>
      <t>3</t>
    </r>
    <r>
      <rPr>
        <b/>
        <sz val="9"/>
        <rFont val="Arial Narrow"/>
        <family val="2"/>
      </rPr>
      <t>/s)</t>
    </r>
  </si>
  <si>
    <t>If known. Type D is worst-case.</t>
  </si>
  <si>
    <r>
      <t>A simple method to calculate time of concentration is: tc (hrs) = 0.76 x (A/100)</t>
    </r>
    <r>
      <rPr>
        <vertAlign val="superscript"/>
        <sz val="10"/>
        <rFont val="Arial"/>
        <family val="2"/>
      </rPr>
      <t>0.38</t>
    </r>
  </si>
  <si>
    <t>hectares</t>
  </si>
  <si>
    <t>Yes</t>
  </si>
  <si>
    <t>No</t>
  </si>
  <si>
    <t>Duration of soil disturbance</t>
  </si>
  <si>
    <t>Duration</t>
  </si>
  <si>
    <t>&gt; 12 months</t>
  </si>
  <si>
    <t>&lt; 12 months</t>
  </si>
  <si>
    <t>Is the soil coarse?</t>
  </si>
  <si>
    <t>Coarse</t>
  </si>
  <si>
    <t>Required Basin Type</t>
  </si>
  <si>
    <t>Soil/Catchment Details</t>
  </si>
  <si>
    <t>Type of soil disturbance</t>
  </si>
  <si>
    <t>Long-term</t>
  </si>
  <si>
    <t>Short-term</t>
  </si>
  <si>
    <t>Total catchment area - from  Sheet 1</t>
  </si>
  <si>
    <t>Ks</t>
  </si>
  <si>
    <t>decant rate</t>
  </si>
  <si>
    <t>1 yr</t>
  </si>
  <si>
    <t>2 yr</t>
  </si>
  <si>
    <t>5 yr</t>
  </si>
  <si>
    <t>Critical design parameter</t>
  </si>
  <si>
    <t>Settling Zone Dimensions</t>
  </si>
  <si>
    <t>Number of decant arms</t>
  </si>
  <si>
    <t>Assumes 2m wide arms @ 2.25L/s/m</t>
  </si>
  <si>
    <t>3:1 recommended</t>
  </si>
  <si>
    <t>Average only - confirm with earthworks design software</t>
  </si>
  <si>
    <t>Calculations Erosion Hazard</t>
  </si>
  <si>
    <t>Is a Basin Required?</t>
  </si>
  <si>
    <t>&lt;70% effective ground cover (C ≥ 0.05)</t>
  </si>
  <si>
    <t>&lt; 33% finer than 0.02mm &amp; ≤ 10% dispersive</t>
  </si>
  <si>
    <t>Are WQOs likely to be met by Type C basin?</t>
  </si>
  <si>
    <t>Particle settlement testing is recommended</t>
  </si>
  <si>
    <t>Water Temp</t>
  </si>
  <si>
    <t>Table B12 - Ks</t>
  </si>
  <si>
    <t>Peak 1 Year Flow (Q1)</t>
  </si>
  <si>
    <t>Option 1B</t>
  </si>
  <si>
    <t>Calculates minimum settling pond surface area (As) and depth (Ds)</t>
  </si>
  <si>
    <t>Jar Settlement Rate after 15 mins</t>
  </si>
  <si>
    <t>Basin Name</t>
  </si>
  <si>
    <t>KS</t>
  </si>
  <si>
    <t>Min DS</t>
  </si>
  <si>
    <t>Peak Flow Calculation</t>
  </si>
  <si>
    <t xml:space="preserve">   Q = C x I x A / 360</t>
  </si>
  <si>
    <t>Peak Q1 flow</t>
  </si>
  <si>
    <t>Half Q1 flow</t>
  </si>
  <si>
    <t>LS</t>
  </si>
  <si>
    <t>Check Ls is less than critical</t>
  </si>
  <si>
    <t>Large basins require a different sizing based on reducing supernatant velocity. If above method does not satisfy Ls requirements use method below</t>
  </si>
  <si>
    <t>Assumes 3:1 length to width ratio</t>
  </si>
  <si>
    <t>Option 2B</t>
  </si>
  <si>
    <t>Table B14</t>
  </si>
  <si>
    <t>Must be between 0.6m and 2.0m</t>
  </si>
  <si>
    <t>Large Basin Design - 1B</t>
  </si>
  <si>
    <t>Supernatant veocity will not resuspend settled sediment if basin length is less than Ls. Use Large Basin design if length &gt; Ls</t>
  </si>
  <si>
    <t>Table B19 - Ks</t>
  </si>
  <si>
    <t>Specific gravity of 0.002mm particle</t>
  </si>
  <si>
    <t>Specific gravity</t>
  </si>
  <si>
    <t>Flow condition withn the basin</t>
  </si>
  <si>
    <t>Table B20 - Hydraulic efficiency factor</t>
  </si>
  <si>
    <t>Uniform or near-uniform flow conditions across the full width of the basin</t>
  </si>
  <si>
    <t>Concentrated inflow (piped or overland flow), primarily at one inflow point and no inlet chamber</t>
  </si>
  <si>
    <t>Concentrated inflow with two or more separate inflow points and no inlet chamber</t>
  </si>
  <si>
    <t>Effective length:width</t>
  </si>
  <si>
    <t>1 : 1</t>
  </si>
  <si>
    <t>3 : 1</t>
  </si>
  <si>
    <t>6 : 1</t>
  </si>
  <si>
    <t>10 : 1</t>
  </si>
  <si>
    <t>Approx width (m)</t>
  </si>
  <si>
    <t>Approx length (m)</t>
  </si>
  <si>
    <t>Put an X here to use 50% of water zone</t>
  </si>
  <si>
    <t>Storage (soil) zone design (months)</t>
  </si>
  <si>
    <t>Storage Zone Dimensions</t>
  </si>
  <si>
    <t>Basin</t>
  </si>
  <si>
    <t>Soil loss from sheet 1</t>
  </si>
  <si>
    <t>Disturbed catchment area from sheet 1</t>
  </si>
  <si>
    <t>Soil loss (m3/ha/yr)</t>
  </si>
  <si>
    <t>Generally sediment has a density of 1.3 t / m3</t>
  </si>
  <si>
    <t>Conversion to cubic metres - assumes 1.3 t/m3</t>
  </si>
  <si>
    <t>75th</t>
  </si>
  <si>
    <t>80th</t>
  </si>
  <si>
    <t>85th</t>
  </si>
  <si>
    <t>90th</t>
  </si>
  <si>
    <t>Basin design life</t>
  </si>
  <si>
    <t>Table B25</t>
  </si>
  <si>
    <t>Less than 6 months</t>
  </si>
  <si>
    <t>Greater than 6 months</t>
  </si>
  <si>
    <t>90% - At discretion of regulatry authority</t>
  </si>
  <si>
    <t>95% - At discretion of regulatry authority</t>
  </si>
  <si>
    <t>y%</t>
  </si>
  <si>
    <t>k1</t>
  </si>
  <si>
    <t>k2</t>
  </si>
  <si>
    <t>Discharges to sensitive receiving waters</t>
  </si>
  <si>
    <t>K1</t>
  </si>
  <si>
    <t>K2</t>
  </si>
  <si>
    <t>Rainfall intensity (1 yr, 120 hr) - (mm/hr)</t>
  </si>
  <si>
    <t>Adopted Rainfall Depth R (y%, 5 day)</t>
  </si>
  <si>
    <t>Soil Hydrologic Group</t>
  </si>
  <si>
    <t>Group A Sand</t>
  </si>
  <si>
    <t>Group B Sandy Loam</t>
  </si>
  <si>
    <t>Group C Loamy clay</t>
  </si>
  <si>
    <t>Group D Clay</t>
  </si>
  <si>
    <t>Light to heavy clay compacted by construction equipment</t>
  </si>
  <si>
    <t>Loam compacted by construction equipment</t>
  </si>
  <si>
    <t>Table B28</t>
  </si>
  <si>
    <t>Cv</t>
  </si>
  <si>
    <t>Based on sediment density above</t>
  </si>
  <si>
    <t>Calculated on worksheet 1</t>
  </si>
  <si>
    <t>Rainfall Data</t>
  </si>
  <si>
    <t>Adopted Rainfall Depth</t>
  </si>
  <si>
    <t>Volumetric Runoff Coefficient</t>
  </si>
  <si>
    <t>Settling Zone</t>
  </si>
  <si>
    <t>Sediment Basin Type</t>
  </si>
  <si>
    <t xml:space="preserve">2. Sediment Basin Type A </t>
  </si>
  <si>
    <t>2. Sediment Basin Type B</t>
  </si>
  <si>
    <t>2. Sediment Basin Type C</t>
  </si>
  <si>
    <t>2. Sediment Basin Type D</t>
  </si>
  <si>
    <t>Short-term e.g. civil, urban dev, long-term e.g. landfills, quarries</t>
  </si>
  <si>
    <t>Is automated dosing reasonable or practicable?</t>
  </si>
  <si>
    <t>Depth of settling zone - Ds (m)</t>
  </si>
  <si>
    <t>Design event (Yr ARI)</t>
  </si>
  <si>
    <t>Depth measured from spillway crest - min = 0.6m, max = 2m</t>
  </si>
  <si>
    <r>
      <t>Optimum flow Q</t>
    </r>
    <r>
      <rPr>
        <vertAlign val="subscript"/>
        <sz val="9"/>
        <rFont val="Arial Narrow"/>
        <family val="2"/>
      </rPr>
      <t>A</t>
    </r>
    <r>
      <rPr>
        <sz val="9"/>
        <rFont val="Arial Narrow"/>
        <family val="2"/>
      </rPr>
      <t xml:space="preserve"> (L/s/ha)</t>
    </r>
  </si>
  <si>
    <t>Inverse of settling velocity - Ks  (s/m)</t>
  </si>
  <si>
    <r>
      <t>Suggested decant rate - Q</t>
    </r>
    <r>
      <rPr>
        <vertAlign val="subscript"/>
        <sz val="9"/>
        <rFont val="Arial Narrow"/>
        <family val="2"/>
      </rPr>
      <t>A</t>
    </r>
    <r>
      <rPr>
        <sz val="9"/>
        <rFont val="Arial Narrow"/>
        <family val="2"/>
      </rPr>
      <t xml:space="preserve"> (L/s/ha)</t>
    </r>
  </si>
  <si>
    <t>Initial equation coefficient - K</t>
  </si>
  <si>
    <r>
      <t>Adopted decant rate Q</t>
    </r>
    <r>
      <rPr>
        <vertAlign val="subscript"/>
        <sz val="9"/>
        <rFont val="Arial Narrow"/>
        <family val="2"/>
      </rPr>
      <t>A</t>
    </r>
    <r>
      <rPr>
        <sz val="9"/>
        <rFont val="Arial Narrow"/>
        <family val="2"/>
      </rPr>
      <t xml:space="preserve"> (L/s/ha)</t>
    </r>
  </si>
  <si>
    <t>Based on critical parameter and adopted Ds</t>
  </si>
  <si>
    <t>Table B4 (IECA). Max 1V:2H. If accessible by publlic &lt; 1V:5H.</t>
  </si>
  <si>
    <t>Basin sizes based on critical parameter</t>
  </si>
  <si>
    <t>Approx top width at spillway level (m)</t>
  </si>
  <si>
    <t>Approx top length at spillway level (m)</t>
  </si>
  <si>
    <t>Approx. only - confirm with earthworks design software</t>
  </si>
  <si>
    <t>Min. depth sediment store zone - 0.2m or 30% of Vs - Table B6</t>
  </si>
  <si>
    <t>Approx. only. Note if the area is negative the basin dimensions do not allow adequate volume. Lower Ds or add multiple basins.</t>
  </si>
  <si>
    <t>Summary of Type A Basin Dimensions</t>
  </si>
  <si>
    <r>
      <t>0.5 x Q1 flow (m</t>
    </r>
    <r>
      <rPr>
        <vertAlign val="superscript"/>
        <sz val="9"/>
        <rFont val="Arial Narrow"/>
        <family val="2"/>
      </rPr>
      <t>3</t>
    </r>
    <r>
      <rPr>
        <sz val="9"/>
        <rFont val="Arial Narrow"/>
        <family val="2"/>
      </rPr>
      <t>/s)</t>
    </r>
  </si>
  <si>
    <r>
      <t>Peak 1 year flow - Q1 (m</t>
    </r>
    <r>
      <rPr>
        <vertAlign val="superscript"/>
        <sz val="9"/>
        <rFont val="Arial Narrow"/>
        <family val="2"/>
      </rPr>
      <t>3</t>
    </r>
    <r>
      <rPr>
        <sz val="9"/>
        <rFont val="Arial Narrow"/>
        <family val="2"/>
      </rPr>
      <t>/s)</t>
    </r>
  </si>
  <si>
    <t>Length to width ratio X : 1</t>
  </si>
  <si>
    <t>Batter slope ( 1 in X)</t>
  </si>
  <si>
    <t>Sediment settlement coeff. - Ks (s/m)</t>
  </si>
  <si>
    <r>
      <t>Minimum surface area - As (m</t>
    </r>
    <r>
      <rPr>
        <vertAlign val="superscript"/>
        <sz val="9"/>
        <rFont val="Arial Narrow"/>
        <family val="2"/>
      </rPr>
      <t>2</t>
    </r>
    <r>
      <rPr>
        <sz val="9"/>
        <rFont val="Arial Narrow"/>
        <family val="2"/>
      </rPr>
      <t>)</t>
    </r>
  </si>
  <si>
    <t>Minimum settling depth - Ds (m)</t>
  </si>
  <si>
    <r>
      <t>Critical settling zone length - L</t>
    </r>
    <r>
      <rPr>
        <vertAlign val="subscript"/>
        <sz val="9"/>
        <rFont val="Arial Narrow"/>
        <family val="2"/>
      </rPr>
      <t>s</t>
    </r>
    <r>
      <rPr>
        <sz val="9"/>
        <rFont val="Arial Narrow"/>
        <family val="2"/>
      </rPr>
      <t xml:space="preserve">  (m)</t>
    </r>
  </si>
  <si>
    <t>Approx. width of basin - Ws (m)</t>
  </si>
  <si>
    <t>Approx. length of basin (m)</t>
  </si>
  <si>
    <t>Large basin - Ds (m)</t>
  </si>
  <si>
    <t>Summary of Type B Basin Dimensions</t>
  </si>
  <si>
    <t>Adopted basin type</t>
  </si>
  <si>
    <t>Option 1B - Large</t>
  </si>
  <si>
    <t>Sediment Storage Zone (SS)</t>
  </si>
  <si>
    <r>
      <t>Settling zone surface area - As (m</t>
    </r>
    <r>
      <rPr>
        <vertAlign val="superscript"/>
        <sz val="9"/>
        <rFont val="Arial Narrow"/>
        <family val="2"/>
      </rPr>
      <t>2</t>
    </r>
    <r>
      <rPr>
        <sz val="9"/>
        <rFont val="Arial Narrow"/>
        <family val="2"/>
      </rPr>
      <t>)</t>
    </r>
  </si>
  <si>
    <r>
      <t>Settling zone volume - Vs (m</t>
    </r>
    <r>
      <rPr>
        <vertAlign val="superscript"/>
        <sz val="9"/>
        <rFont val="Arial Narrow"/>
        <family val="2"/>
      </rPr>
      <t>3</t>
    </r>
    <r>
      <rPr>
        <sz val="9"/>
        <rFont val="Arial Narrow"/>
        <family val="2"/>
      </rPr>
      <t>)</t>
    </r>
  </si>
  <si>
    <t>Suggested water temperature (°C)</t>
  </si>
  <si>
    <t>Hydraulic efficiency HE</t>
  </si>
  <si>
    <r>
      <t>Minimum settling volume - Vs (m</t>
    </r>
    <r>
      <rPr>
        <vertAlign val="superscript"/>
        <sz val="9"/>
        <rFont val="Arial Narrow"/>
        <family val="2"/>
      </rPr>
      <t>3</t>
    </r>
    <r>
      <rPr>
        <sz val="9"/>
        <rFont val="Arial Narrow"/>
        <family val="2"/>
      </rPr>
      <t>)</t>
    </r>
  </si>
  <si>
    <r>
      <t>Actual volume (m</t>
    </r>
    <r>
      <rPr>
        <vertAlign val="superscript"/>
        <sz val="9"/>
        <rFont val="Arial Narrow"/>
        <family val="2"/>
      </rPr>
      <t>3</t>
    </r>
    <r>
      <rPr>
        <sz val="9"/>
        <rFont val="Arial Narrow"/>
        <family val="2"/>
      </rPr>
      <t>)</t>
    </r>
  </si>
  <si>
    <r>
      <t>Settling volume - Vs (m</t>
    </r>
    <r>
      <rPr>
        <vertAlign val="superscript"/>
        <sz val="9"/>
        <rFont val="Arial Narrow"/>
        <family val="2"/>
      </rPr>
      <t>3</t>
    </r>
    <r>
      <rPr>
        <sz val="9"/>
        <rFont val="Arial Narrow"/>
        <family val="2"/>
      </rPr>
      <t>)</t>
    </r>
  </si>
  <si>
    <t>Adopted Ds (m)</t>
  </si>
  <si>
    <t>Put an X here for 30% of water zone</t>
  </si>
  <si>
    <t>Put an X here for 50% of water zone</t>
  </si>
  <si>
    <t>Summary of Type C Basin Dimensions</t>
  </si>
  <si>
    <t>Table B4 (IECA). Max 1V:2H. If accessible by publlic &lt; 1V:5H</t>
  </si>
  <si>
    <t>Length:width ratio of 3:1 recommended</t>
  </si>
  <si>
    <t>Average settling zone volume</t>
  </si>
  <si>
    <t>Adopted settling zone depth - Ds (m)</t>
  </si>
  <si>
    <t>R (y%, 5 day) using rainfall intensity</t>
  </si>
  <si>
    <t>Summary of Type D Basin Dimensions</t>
  </si>
  <si>
    <t>3. Flow Calculations</t>
  </si>
  <si>
    <r>
      <t>Rainfall erosivity (</t>
    </r>
    <r>
      <rPr>
        <i/>
        <sz val="9"/>
        <rFont val="Arial Narrow"/>
        <family val="2"/>
      </rPr>
      <t>R</t>
    </r>
    <r>
      <rPr>
        <sz val="9"/>
        <rFont val="Arial Narrow"/>
        <family val="2"/>
      </rPr>
      <t>-factor)</t>
    </r>
  </si>
  <si>
    <t>Auto-filled from above</t>
  </si>
  <si>
    <t>RUSLE Factors</t>
  </si>
  <si>
    <t>Jar test settlement rate after 15 mins (mm)</t>
  </si>
  <si>
    <t>Approx only. Confirm with earthworks design software</t>
  </si>
  <si>
    <r>
      <t>Depth free water zone - D</t>
    </r>
    <r>
      <rPr>
        <vertAlign val="subscript"/>
        <sz val="9"/>
        <rFont val="Arial Narrow"/>
        <family val="2"/>
      </rPr>
      <t>FW</t>
    </r>
    <r>
      <rPr>
        <sz val="9"/>
        <rFont val="Arial Narrow"/>
        <family val="2"/>
      </rPr>
      <t xml:space="preserve"> (m)</t>
    </r>
  </si>
  <si>
    <r>
      <t>Approx ave width free water zone (m</t>
    </r>
    <r>
      <rPr>
        <vertAlign val="superscript"/>
        <sz val="9"/>
        <rFont val="Arial Narrow"/>
        <family val="2"/>
      </rPr>
      <t>2</t>
    </r>
    <r>
      <rPr>
        <sz val="9"/>
        <rFont val="Arial Narrow"/>
        <family val="2"/>
      </rPr>
      <t>)</t>
    </r>
  </si>
  <si>
    <r>
      <t>Approx. FW volume (m</t>
    </r>
    <r>
      <rPr>
        <vertAlign val="superscript"/>
        <sz val="9"/>
        <rFont val="Arial Narrow"/>
        <family val="2"/>
      </rPr>
      <t>3</t>
    </r>
    <r>
      <rPr>
        <sz val="9"/>
        <rFont val="Arial Narrow"/>
        <family val="2"/>
      </rPr>
      <t>)</t>
    </r>
  </si>
  <si>
    <r>
      <t>Min. depth sediment storage zone- D</t>
    </r>
    <r>
      <rPr>
        <vertAlign val="subscript"/>
        <sz val="9"/>
        <rFont val="Arial Narrow"/>
        <family val="2"/>
      </rPr>
      <t>SS</t>
    </r>
    <r>
      <rPr>
        <sz val="9"/>
        <rFont val="Arial Narrow"/>
        <family val="2"/>
      </rPr>
      <t xml:space="preserve"> (m)</t>
    </r>
  </si>
  <si>
    <r>
      <t>Approx. SS volume (m</t>
    </r>
    <r>
      <rPr>
        <vertAlign val="superscript"/>
        <sz val="9"/>
        <rFont val="Arial Narrow"/>
        <family val="2"/>
      </rPr>
      <t>3</t>
    </r>
    <r>
      <rPr>
        <sz val="9"/>
        <rFont val="Arial Narrow"/>
        <family val="2"/>
      </rPr>
      <t>)</t>
    </r>
  </si>
  <si>
    <r>
      <t>Approx ave width sediment store zone (m</t>
    </r>
    <r>
      <rPr>
        <vertAlign val="superscript"/>
        <sz val="9"/>
        <rFont val="Arial Narrow"/>
        <family val="2"/>
      </rPr>
      <t>2</t>
    </r>
    <r>
      <rPr>
        <sz val="9"/>
        <rFont val="Arial Narrow"/>
        <family val="2"/>
      </rPr>
      <t>)</t>
    </r>
  </si>
  <si>
    <r>
      <t>Approx ave length free water zone (m</t>
    </r>
    <r>
      <rPr>
        <vertAlign val="superscript"/>
        <sz val="9"/>
        <rFont val="Arial Narrow"/>
        <family val="2"/>
      </rPr>
      <t>2</t>
    </r>
    <r>
      <rPr>
        <sz val="9"/>
        <rFont val="Arial Narrow"/>
        <family val="2"/>
      </rPr>
      <t>)</t>
    </r>
  </si>
  <si>
    <r>
      <t>Approx ave length sediment store zone (m</t>
    </r>
    <r>
      <rPr>
        <vertAlign val="superscript"/>
        <sz val="9"/>
        <rFont val="Arial Narrow"/>
        <family val="2"/>
      </rPr>
      <t>2</t>
    </r>
    <r>
      <rPr>
        <sz val="9"/>
        <rFont val="Arial Narrow"/>
        <family val="2"/>
      </rPr>
      <t>)</t>
    </r>
  </si>
  <si>
    <t>Min. 10% of settling volume (Vs)</t>
  </si>
  <si>
    <t>Min. 30% of settling volume (Vs)</t>
  </si>
  <si>
    <t>Put an X here to use 30% of water zone</t>
  </si>
  <si>
    <t>Retained Water Zone Dimensions  - Free Water Zone (FW)</t>
  </si>
  <si>
    <t>Retained Water Zone Dimensions  - Sediment Storage Zone (SS)</t>
  </si>
  <si>
    <r>
      <t>Min. volume sediment storage zone - V</t>
    </r>
    <r>
      <rPr>
        <vertAlign val="subscript"/>
        <sz val="9"/>
        <rFont val="Arial Narrow"/>
        <family val="2"/>
      </rPr>
      <t>SS</t>
    </r>
    <r>
      <rPr>
        <sz val="9"/>
        <rFont val="Arial Narrow"/>
        <family val="2"/>
      </rPr>
      <t xml:space="preserve"> (m</t>
    </r>
    <r>
      <rPr>
        <vertAlign val="superscript"/>
        <sz val="9"/>
        <rFont val="Arial Narrow"/>
        <family val="2"/>
      </rPr>
      <t>3</t>
    </r>
    <r>
      <rPr>
        <sz val="9"/>
        <rFont val="Arial Narrow"/>
        <family val="2"/>
      </rPr>
      <t>)</t>
    </r>
  </si>
  <si>
    <r>
      <t>Min. volume free water zone - V</t>
    </r>
    <r>
      <rPr>
        <vertAlign val="subscript"/>
        <sz val="9"/>
        <rFont val="Arial Narrow"/>
        <family val="2"/>
      </rPr>
      <t>FW</t>
    </r>
    <r>
      <rPr>
        <sz val="9"/>
        <rFont val="Arial Narrow"/>
        <family val="2"/>
      </rPr>
      <t xml:space="preserve"> (m</t>
    </r>
    <r>
      <rPr>
        <vertAlign val="superscript"/>
        <sz val="9"/>
        <rFont val="Arial Narrow"/>
        <family val="2"/>
      </rPr>
      <t>3</t>
    </r>
    <r>
      <rPr>
        <sz val="9"/>
        <rFont val="Arial Narrow"/>
        <family val="2"/>
      </rPr>
      <t>)</t>
    </r>
  </si>
  <si>
    <t>Bottom width of sediment store (m)</t>
  </si>
  <si>
    <t>Scour check Full - supernatant velocity (m/s)</t>
  </si>
  <si>
    <t>Scour check Empty - supernatant velocity (m/s)</t>
  </si>
  <si>
    <t>Sediment Storage Zone volume check</t>
  </si>
  <si>
    <r>
      <t>Total basin volume to spillway level (m</t>
    </r>
    <r>
      <rPr>
        <b/>
        <vertAlign val="superscript"/>
        <sz val="9"/>
        <rFont val="Arial Narrow"/>
        <family val="2"/>
      </rPr>
      <t>3</t>
    </r>
    <r>
      <rPr>
        <b/>
        <sz val="9"/>
        <rFont val="Arial Narrow"/>
        <family val="2"/>
      </rPr>
      <t>)</t>
    </r>
  </si>
  <si>
    <r>
      <t>Min. 10% V</t>
    </r>
    <r>
      <rPr>
        <vertAlign val="subscript"/>
        <sz val="9"/>
        <rFont val="Arial Narrow"/>
        <family val="2"/>
      </rPr>
      <t>SS</t>
    </r>
    <r>
      <rPr>
        <sz val="9"/>
        <rFont val="Arial Narrow"/>
        <family val="2"/>
      </rPr>
      <t xml:space="preserve"> or 0.2m depth. </t>
    </r>
    <r>
      <rPr>
        <b/>
        <sz val="9"/>
        <rFont val="Arial Narrow"/>
        <family val="2"/>
      </rPr>
      <t>Must be at least 0.2m deep</t>
    </r>
  </si>
  <si>
    <t>Spreadsheet Verion</t>
  </si>
  <si>
    <t>Date</t>
  </si>
  <si>
    <t>www.seec.com.au</t>
  </si>
  <si>
    <t>Future updates of this spreadsheet are expected to be provided on our website.</t>
  </si>
  <si>
    <r>
      <t>Volume of settlng zone (m</t>
    </r>
    <r>
      <rPr>
        <vertAlign val="superscript"/>
        <sz val="9"/>
        <rFont val="Arial Narrow"/>
        <family val="2"/>
      </rPr>
      <t>3</t>
    </r>
    <r>
      <rPr>
        <sz val="9"/>
        <rFont val="Arial Narrow"/>
        <family val="2"/>
      </rPr>
      <t>)</t>
    </r>
  </si>
  <si>
    <r>
      <t>Sediment density (t / m</t>
    </r>
    <r>
      <rPr>
        <vertAlign val="superscript"/>
        <sz val="9"/>
        <rFont val="Arial Narrow"/>
        <family val="2"/>
      </rPr>
      <t>3</t>
    </r>
    <r>
      <rPr>
        <sz val="9"/>
        <rFont val="Arial Narrow"/>
        <family val="2"/>
      </rPr>
      <t>)</t>
    </r>
  </si>
  <si>
    <r>
      <t>0.5 x Q1 Flow (m</t>
    </r>
    <r>
      <rPr>
        <vertAlign val="superscript"/>
        <sz val="9"/>
        <rFont val="Arial Narrow"/>
        <family val="2"/>
      </rPr>
      <t>3</t>
    </r>
    <r>
      <rPr>
        <sz val="9"/>
        <rFont val="Arial Narrow"/>
        <family val="2"/>
      </rPr>
      <t>/s)</t>
    </r>
  </si>
  <si>
    <t>Batter slope (1 in X)</t>
  </si>
  <si>
    <r>
      <t>Basin storage (soil) volume (m</t>
    </r>
    <r>
      <rPr>
        <vertAlign val="superscript"/>
        <sz val="9"/>
        <rFont val="Arial Narrow"/>
        <family val="2"/>
      </rPr>
      <t>3</t>
    </r>
    <r>
      <rPr>
        <sz val="9"/>
        <rFont val="Arial Narrow"/>
        <family val="2"/>
      </rPr>
      <t>)</t>
    </r>
  </si>
  <si>
    <r>
      <t>Sediment basin total volume (m</t>
    </r>
    <r>
      <rPr>
        <vertAlign val="superscript"/>
        <sz val="9"/>
        <rFont val="Arial Narrow"/>
        <family val="2"/>
      </rPr>
      <t>3</t>
    </r>
    <r>
      <rPr>
        <sz val="9"/>
        <rFont val="Arial Narrow"/>
        <family val="2"/>
      </rPr>
      <t>)</t>
    </r>
  </si>
  <si>
    <r>
      <t>Required basin storage (soil) volume (m</t>
    </r>
    <r>
      <rPr>
        <vertAlign val="superscript"/>
        <sz val="9"/>
        <rFont val="Arial Narrow"/>
        <family val="2"/>
      </rPr>
      <t>3</t>
    </r>
    <r>
      <rPr>
        <sz val="9"/>
        <rFont val="Arial Narrow"/>
        <family val="2"/>
      </rPr>
      <t>)</t>
    </r>
  </si>
  <si>
    <r>
      <t>Basin settling (water) volume (m</t>
    </r>
    <r>
      <rPr>
        <vertAlign val="superscript"/>
        <sz val="9"/>
        <rFont val="Arial Narrow"/>
        <family val="2"/>
      </rPr>
      <t>3</t>
    </r>
    <r>
      <rPr>
        <sz val="9"/>
        <rFont val="Arial Narrow"/>
        <family val="2"/>
      </rPr>
      <t>)</t>
    </r>
  </si>
  <si>
    <r>
      <t>Sediment basin total volume (m</t>
    </r>
    <r>
      <rPr>
        <b/>
        <vertAlign val="superscript"/>
        <sz val="9"/>
        <rFont val="Arial Narrow"/>
        <family val="2"/>
      </rPr>
      <t>3</t>
    </r>
    <r>
      <rPr>
        <b/>
        <sz val="9"/>
        <rFont val="Arial Narrow"/>
        <family val="2"/>
      </rPr>
      <t>)</t>
    </r>
  </si>
  <si>
    <t>This spreadsheet has been developed as a tool for sizing sediment basins using the current IECA Appendix B. 
IECA (2018). Appendix B Sediment Basin Design and Operation.
International Erosion Control Association Australasian Chapter, Picton, NSW</t>
  </si>
  <si>
    <t>Although all care has been taken to ensure the method and formulas are consistent with IECA (2018) Appendix B, SEEC does not take any responsibility for any errors in this spreadsheet, use of incorrect input data, or works that have been designed using this spreadsheet.
Basin layouts and actual dimensions must be determined by the user based on individual site constraints.</t>
  </si>
  <si>
    <t>https://www.austieca.com.au/publications/appendix-b-sediment-basin-design-and-operation</t>
  </si>
  <si>
    <t>Table B9</t>
  </si>
  <si>
    <t>Catchment area (ha)</t>
  </si>
  <si>
    <t>Rainfall intensity 24 hr event (mm/hr)</t>
  </si>
  <si>
    <t>Fill in one or the other - either an X or nominate the number of months. Refer to Page B.40 (IECA)</t>
  </si>
  <si>
    <t>Refer to Page B.40 (IECA)</t>
  </si>
  <si>
    <t>Minimum required 'average' surface area as per Eqn B19</t>
  </si>
  <si>
    <t>Refer to Table B31 (IECA)</t>
  </si>
  <si>
    <t>Equation B35 (IECA)</t>
  </si>
  <si>
    <t>RUSLE LS factor calculated for a high rill/interrill ratio. See Appendix E of IECA (2008)</t>
  </si>
  <si>
    <t>Refer to Table B1 Pg B.6 (IECA, 2018)</t>
  </si>
  <si>
    <t>Pg 3.15 (IECA, 2008)</t>
  </si>
  <si>
    <t>Pg 3.4 (IECA, 2008)</t>
  </si>
  <si>
    <t>Does physical layout allow forebay inflow?</t>
  </si>
  <si>
    <t>Refer to Table B2 Pg B.7 (IECA, 2018)</t>
  </si>
  <si>
    <t>Auto-filled based on selections - Table B7, pg B.17 (IECA, 2018)</t>
  </si>
  <si>
    <t>From BOM. 1yr, 24 hr for short term; 5yr, 24hr for long term</t>
  </si>
  <si>
    <t>Total catchment area - auto-filled from  Worksheet 1</t>
  </si>
  <si>
    <t>From IECA (2018) Table B5, page B.16</t>
  </si>
  <si>
    <t>From IECA (2018) Table B8, page B.17</t>
  </si>
  <si>
    <t>See Table B9, pg B.18. Do jar test as per Pg B.83 (IECA, 2018)</t>
  </si>
  <si>
    <t>Refer Table B14, page B.24 (IECA, 2018)</t>
  </si>
  <si>
    <r>
      <t>Likely optimum low-flow decant rate Q</t>
    </r>
    <r>
      <rPr>
        <vertAlign val="subscript"/>
        <sz val="9"/>
        <rFont val="Arial Narrow"/>
        <family val="2"/>
      </rPr>
      <t>A</t>
    </r>
    <r>
      <rPr>
        <sz val="9"/>
        <rFont val="Arial Narrow"/>
        <family val="2"/>
      </rPr>
      <t xml:space="preserve"> - Eqn B1 (IECA, 2018)</t>
    </r>
  </si>
  <si>
    <r>
      <t>Adopted Q</t>
    </r>
    <r>
      <rPr>
        <vertAlign val="subscript"/>
        <sz val="9"/>
        <rFont val="Arial Narrow"/>
        <family val="2"/>
      </rPr>
      <t>A</t>
    </r>
    <r>
      <rPr>
        <sz val="9"/>
        <rFont val="Arial Narrow"/>
        <family val="2"/>
      </rPr>
      <t xml:space="preserve"> be within Table B5 limits even if optimum is greater</t>
    </r>
  </si>
  <si>
    <t>Equation B6 (IECA, 2018)</t>
  </si>
  <si>
    <t>Equation B10 (IECA, 2018)</t>
  </si>
  <si>
    <r>
      <t>Velocity must be less than 0.015m/s; if required, adjust Q</t>
    </r>
    <r>
      <rPr>
        <vertAlign val="subscript"/>
        <sz val="9"/>
        <rFont val="Arial Narrow"/>
        <family val="2"/>
      </rPr>
      <t>A</t>
    </r>
  </si>
  <si>
    <t>Min free water zone: 0.2m or 10% of Vs (Table B6, pg B.16)</t>
  </si>
  <si>
    <t>Velocity &lt; 0.015m/s; Assumes a 2m arm at 2.25l/s/m</t>
  </si>
  <si>
    <t>Calculated and autofilled from Worksheet 1</t>
  </si>
  <si>
    <t>Generally saturated sediment has a density of 1.3 t / m3</t>
  </si>
  <si>
    <t>Fill in one or the other - either an X or nominate the number of months. Refer to Page B.40 (IECA, 2018)</t>
  </si>
  <si>
    <t>Refer to Page B.40 (IECA, 2018)</t>
  </si>
  <si>
    <t>Check that design complies with Table B6 (IECA, 2018)</t>
  </si>
  <si>
    <t>Equation B7 (IECA, 2018)</t>
  </si>
  <si>
    <t>Equation B11 (IECA, 2018)</t>
  </si>
  <si>
    <r>
      <t>30% of V</t>
    </r>
    <r>
      <rPr>
        <vertAlign val="subscript"/>
        <sz val="9"/>
        <rFont val="Arial Narrow"/>
        <family val="2"/>
      </rPr>
      <t>SS</t>
    </r>
    <r>
      <rPr>
        <sz val="9"/>
        <rFont val="Arial Narrow"/>
        <family val="2"/>
      </rPr>
      <t xml:space="preserve"> or x months storage. Refer to page B.36 (IECA, 2018)</t>
    </r>
  </si>
  <si>
    <t>Total catchment area - autofilled from Worksheet 1</t>
  </si>
  <si>
    <t>See Table B17, pg B.26. Jar test as per Pg B.83 (IECA, 2018)</t>
  </si>
  <si>
    <t>Refer Table B17, page B.26 (IECA, 2018)</t>
  </si>
  <si>
    <t xml:space="preserve">Refer to Table B17, page B.26 (IECA, 2018) </t>
  </si>
  <si>
    <t>Refer to Table B17, page B.26 (IECA, 2018)</t>
  </si>
  <si>
    <r>
      <t>30% of V</t>
    </r>
    <r>
      <rPr>
        <vertAlign val="subscript"/>
        <sz val="9"/>
        <rFont val="Arial Narrow"/>
        <family val="2"/>
      </rPr>
      <t>SS</t>
    </r>
    <r>
      <rPr>
        <sz val="9"/>
        <rFont val="Arial Narrow"/>
        <family val="2"/>
      </rPr>
      <t xml:space="preserve"> or x months storage. See pg B.40 (IECA, 2018)</t>
    </r>
  </si>
  <si>
    <t>Refer toTable B23, page B.32 (IECA, 2018)</t>
  </si>
  <si>
    <t>Equation B30 (IECA, 2018)</t>
  </si>
  <si>
    <t>Calculated on worksheet 1 and autofilled</t>
  </si>
  <si>
    <r>
      <t>Generally saturated sediment has a density of 1.3 t / m</t>
    </r>
    <r>
      <rPr>
        <vertAlign val="superscript"/>
        <sz val="9"/>
        <rFont val="Arial Narrow"/>
        <family val="2"/>
      </rPr>
      <t>3</t>
    </r>
  </si>
  <si>
    <t>Refer to Page B.31 (IECA, 2018)</t>
  </si>
  <si>
    <t>Suggested water temp fromTable B22, pg B.32 (IECA, 2018)</t>
  </si>
  <si>
    <t>Default specific gravity is 2.6. Table B22, pg B.32 (IECA, 2018)</t>
  </si>
  <si>
    <t>Based on 0.02mm particle size. Table B22, pg B.32 (IECA, 2018)</t>
  </si>
  <si>
    <t>Assume 5 days. Pg B.35 (IECA, 2018)</t>
  </si>
  <si>
    <t>Refer to Table B28, page B.36 (IECA, 2018)</t>
  </si>
  <si>
    <t>Default rainfall depth R (y%, 5 day)</t>
  </si>
  <si>
    <t>Equation B36 (IECA, 2018)</t>
  </si>
  <si>
    <t>Enter one or the other here: either a default rainfall depth (Table B29 or B30, pages B.37 to B.38) or calculate using BOM data</t>
  </si>
  <si>
    <t>Refer to Table B31 (IECA). Note that coefficients apply only to pervious surfaces with low to medium gradients. Clays compacted by construction equipment should adopt Cv of 1. Loamy soils compacted by construction equipment should adopt coefficient no less than Group D soils therefore additional 5% to Group D.</t>
  </si>
  <si>
    <t>Total catchment area - from Worksheet 1. Autofilled.</t>
  </si>
  <si>
    <t>Pg A.7 (IECA, 2008)</t>
  </si>
  <si>
    <r>
      <t>Time of concentration (t</t>
    </r>
    <r>
      <rPr>
        <vertAlign val="subscript"/>
        <sz val="10"/>
        <rFont val="Arial"/>
        <family val="2"/>
      </rPr>
      <t>c</t>
    </r>
    <r>
      <rPr>
        <sz val="10"/>
        <rFont val="Arial"/>
        <family val="2"/>
      </rPr>
      <t>) is determined by a range of formulae - see Pg A.9 to A.14 in IECA, 2008</t>
    </r>
  </si>
  <si>
    <t>Total Catchment Area (ha)</t>
  </si>
  <si>
    <t>Must be same as site area on Worksheet 1</t>
  </si>
  <si>
    <t>Check flow velocity (m/s)</t>
  </si>
  <si>
    <t>Must be less than 0.015m/s</t>
  </si>
  <si>
    <t>Must be at least 0.6m</t>
  </si>
  <si>
    <r>
      <t>Minimum Depth - D</t>
    </r>
    <r>
      <rPr>
        <vertAlign val="subscript"/>
        <sz val="9"/>
        <rFont val="Arial Narrow"/>
        <family val="2"/>
      </rPr>
      <t>F</t>
    </r>
    <r>
      <rPr>
        <sz val="9"/>
        <rFont val="Arial Narrow"/>
        <family val="2"/>
      </rPr>
      <t xml:space="preserve"> (m)</t>
    </r>
  </si>
  <si>
    <t>Width at base of settling zone (m)</t>
  </si>
  <si>
    <t>Settling Volume (m3)</t>
  </si>
  <si>
    <t>ADOPTED BASIN DESIGN</t>
  </si>
  <si>
    <t>Adopted Settling Volume (m3)</t>
  </si>
  <si>
    <t>Select adopted basin type</t>
  </si>
  <si>
    <t>DS must be equal or greater than DF</t>
  </si>
  <si>
    <t>Adopted Settling Area (m2)</t>
  </si>
  <si>
    <t>Average surface area</t>
  </si>
  <si>
    <t>Check residence time (mins)</t>
  </si>
  <si>
    <t>Large basin ave width - Ws (m)</t>
  </si>
  <si>
    <t>Large basin ave length (m)</t>
  </si>
  <si>
    <t>Check velocity and residence time</t>
  </si>
  <si>
    <t>Length to width ratio (X : 1)</t>
  </si>
  <si>
    <t>Must settle full depth of settling zone Ds</t>
  </si>
  <si>
    <t>Resultant Settling Volume</t>
  </si>
  <si>
    <t>Check max settling depth of particles (m)</t>
  </si>
  <si>
    <t>Average Surface Area (m2)</t>
  </si>
  <si>
    <t>Assumes length to width ratio in row 10</t>
  </si>
  <si>
    <t>Minimum required 'average' surface area as per Eqn B26</t>
  </si>
  <si>
    <t>The depth Ds or width Ws must be increased to limit the supernatant velocity for large basins. Refer Equation B20 (IECA)</t>
  </si>
  <si>
    <t>Time for flow to travel full length of basin</t>
  </si>
  <si>
    <r>
      <t>W</t>
    </r>
    <r>
      <rPr>
        <vertAlign val="subscript"/>
        <sz val="9"/>
        <rFont val="Arial Narrow"/>
        <family val="2"/>
      </rPr>
      <t>SF</t>
    </r>
    <r>
      <rPr>
        <sz val="9"/>
        <rFont val="Arial Narrow"/>
        <family val="2"/>
      </rPr>
      <t xml:space="preserve"> in IECA Eqn B27</t>
    </r>
  </si>
  <si>
    <t>Refer to Page B.40 (IECA, 2018). Adopts disturbed area from sheet 1</t>
  </si>
  <si>
    <t>Refer to Page B.40 (IECA). Adopts disturbed area from Worksheet 1</t>
  </si>
  <si>
    <r>
      <t>Check flow velocity D</t>
    </r>
    <r>
      <rPr>
        <vertAlign val="subscript"/>
        <sz val="9"/>
        <rFont val="Arial Narrow"/>
        <family val="2"/>
      </rPr>
      <t xml:space="preserve">F </t>
    </r>
    <r>
      <rPr>
        <sz val="9"/>
        <rFont val="Arial Narrow"/>
        <family val="2"/>
      </rPr>
      <t>(m/s)</t>
    </r>
  </si>
  <si>
    <r>
      <t>Check flow velocity D</t>
    </r>
    <r>
      <rPr>
        <vertAlign val="subscript"/>
        <sz val="9"/>
        <rFont val="Arial Narrow"/>
        <family val="2"/>
      </rPr>
      <t>S</t>
    </r>
    <r>
      <rPr>
        <sz val="9"/>
        <rFont val="Arial Narrow"/>
        <family val="2"/>
      </rPr>
      <t xml:space="preserve"> (m/s)</t>
    </r>
  </si>
  <si>
    <r>
      <t>Check residence time D</t>
    </r>
    <r>
      <rPr>
        <vertAlign val="subscript"/>
        <sz val="9"/>
        <rFont val="Arial Narrow"/>
        <family val="2"/>
      </rPr>
      <t>F</t>
    </r>
    <r>
      <rPr>
        <sz val="9"/>
        <rFont val="Arial Narrow"/>
        <family val="2"/>
      </rPr>
      <t xml:space="preserve"> (mins)</t>
    </r>
  </si>
  <si>
    <r>
      <t>Check residence time D</t>
    </r>
    <r>
      <rPr>
        <vertAlign val="subscript"/>
        <sz val="9"/>
        <rFont val="Arial Narrow"/>
        <family val="2"/>
      </rPr>
      <t>S</t>
    </r>
    <r>
      <rPr>
        <sz val="9"/>
        <rFont val="Arial Narrow"/>
        <family val="2"/>
      </rPr>
      <t xml:space="preserve"> (mins)</t>
    </r>
  </si>
  <si>
    <t>Settling depth of particles must be no less than 600mm</t>
  </si>
  <si>
    <r>
      <t>Ave width of minimum floc depth - W</t>
    </r>
    <r>
      <rPr>
        <vertAlign val="subscript"/>
        <sz val="9"/>
        <rFont val="Arial Narrow"/>
        <family val="2"/>
      </rPr>
      <t>SF</t>
    </r>
    <r>
      <rPr>
        <sz val="9"/>
        <rFont val="Arial Narrow"/>
        <family val="2"/>
      </rPr>
      <t xml:space="preserve"> (m)</t>
    </r>
  </si>
  <si>
    <r>
      <t>Check settling depth of particles (</t>
    </r>
    <r>
      <rPr>
        <sz val="8"/>
        <rFont val="Arial Narrow"/>
        <family val="2"/>
      </rPr>
      <t>D</t>
    </r>
    <r>
      <rPr>
        <vertAlign val="subscript"/>
        <sz val="8"/>
        <rFont val="Arial Narrow"/>
        <family val="2"/>
      </rPr>
      <t>F</t>
    </r>
    <r>
      <rPr>
        <sz val="8"/>
        <rFont val="Arial Narrow"/>
        <family val="2"/>
      </rPr>
      <t xml:space="preserve"> velocity</t>
    </r>
    <r>
      <rPr>
        <sz val="9"/>
        <rFont val="Arial Narrow"/>
        <family val="2"/>
      </rPr>
      <t>) (m)</t>
    </r>
  </si>
  <si>
    <r>
      <t>Actual average area (m</t>
    </r>
    <r>
      <rPr>
        <vertAlign val="superscript"/>
        <sz val="9"/>
        <rFont val="Arial Narrow"/>
        <family val="2"/>
      </rPr>
      <t>2</t>
    </r>
    <r>
      <rPr>
        <sz val="9"/>
        <rFont val="Arial Narrow"/>
        <family val="2"/>
      </rPr>
      <t>)</t>
    </r>
  </si>
  <si>
    <t>Place a x here to halve tc</t>
  </si>
  <si>
    <t>Time of concentration. (tc)</t>
  </si>
  <si>
    <t>Manually calculated tc</t>
  </si>
  <si>
    <t>Enter tc if you don't wish to use the default</t>
  </si>
  <si>
    <t>Note: For all urban catchments or construction sites with a catchment 10 ha or larger, the time of concentration should be determined by more precise calculations or reduced by a factor of 50%. Place an x in the appropriate row below to automatically halve the time of concentration for that sub-catchment (if needed).</t>
  </si>
  <si>
    <t>Place an x if an urban catchment (i.e. Imperv &gt;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</si>
</sst>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64" formatCode="0.000"/>
    <numFmt numFmtId="165" formatCode="0.00000"/>
    <numFmt numFmtId="166" formatCode="0.0"/>
    <numFmt numFmtId="167" formatCode=";;;"/>
    <numFmt numFmtId="168" formatCode="0.0000"/>
    <numFmt numFmtId="169" formatCode="0.0%"/>
  </numFmts>
  <fonts count="53" x14ac:knownFonts="1">
    <font>
      <sz val="10"/>
      <name val="Arial"/>
    </font>
    <font>
      <b/>
      <sz val="18"/>
      <name val="Arial"/>
      <family val="2"/>
    </font>
    <font>
      <b/>
      <sz val="12"/>
      <name val="Arial"/>
      <family val="2"/>
    </font>
    <font>
      <b/>
      <sz val="14"/>
      <name val="Arial"/>
      <family val="2"/>
    </font>
    <font>
      <b/>
      <sz val="10"/>
      <name val="Arial"/>
      <family val="2"/>
    </font>
    <font>
      <sz val="10"/>
      <name val="Arial Narrow"/>
      <family val="2"/>
    </font>
    <font>
      <vertAlign val="subscript"/>
      <sz val="10"/>
      <name val="Arial"/>
      <family val="2"/>
    </font>
    <font>
      <vertAlign val="superscript"/>
      <sz val="10"/>
      <name val="Arial"/>
      <family val="2"/>
    </font>
    <font>
      <b/>
      <sz val="10"/>
      <name val="Arial"/>
      <family val="2"/>
    </font>
    <font>
      <sz val="10"/>
      <name val="Arial"/>
      <family val="2"/>
    </font>
    <font>
      <sz val="9"/>
      <name val="Arial Narrow"/>
      <family val="2"/>
    </font>
    <font>
      <b/>
      <sz val="9"/>
      <name val="Arial Narrow"/>
      <family val="2"/>
    </font>
    <font>
      <i/>
      <sz val="9"/>
      <name val="Arial Narrow"/>
      <family val="2"/>
    </font>
    <font>
      <b/>
      <vertAlign val="superscript"/>
      <sz val="9"/>
      <name val="Arial Narrow"/>
      <family val="2"/>
    </font>
    <font>
      <vertAlign val="superscript"/>
      <sz val="9"/>
      <name val="Arial Narrow"/>
      <family val="2"/>
    </font>
    <font>
      <sz val="9"/>
      <name val="Arial"/>
      <family val="2"/>
    </font>
    <font>
      <sz val="9"/>
      <name val="Arial Narrow"/>
      <family val="2"/>
    </font>
    <font>
      <u/>
      <sz val="10"/>
      <color indexed="12"/>
      <name val="Arial"/>
      <family val="2"/>
    </font>
    <font>
      <sz val="8"/>
      <name val="Arial"/>
      <family val="2"/>
    </font>
    <font>
      <b/>
      <sz val="14"/>
      <name val="Arial"/>
      <family val="2"/>
    </font>
    <font>
      <sz val="10"/>
      <name val="Arial"/>
      <family val="2"/>
    </font>
    <font>
      <b/>
      <sz val="18"/>
      <name val="Arial"/>
      <family val="2"/>
    </font>
    <font>
      <b/>
      <sz val="12"/>
      <name val="Arial"/>
      <family val="2"/>
    </font>
    <font>
      <vertAlign val="subscript"/>
      <sz val="9"/>
      <name val="Arial Narrow"/>
      <family val="2"/>
    </font>
    <font>
      <sz val="8"/>
      <name val="Arial Narrow"/>
      <family val="2"/>
    </font>
    <font>
      <vertAlign val="subscript"/>
      <sz val="8"/>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FF0000"/>
      <name val="Arial"/>
      <family val="2"/>
    </font>
    <font>
      <b/>
      <sz val="10"/>
      <color rgb="FFFF0000"/>
      <name val="Arial"/>
      <family val="2"/>
    </font>
    <font>
      <sz val="10"/>
      <color theme="0" tint="-0.34998626667073579"/>
      <name val="Arial"/>
      <family val="2"/>
    </font>
    <font>
      <b/>
      <sz val="8"/>
      <color rgb="FFFF0000"/>
      <name val="Arial Narrow"/>
      <family val="2"/>
    </font>
    <font>
      <b/>
      <sz val="9"/>
      <color rgb="FFFF0000"/>
      <name val="Arial Narrow"/>
      <family val="2"/>
    </font>
    <font>
      <sz val="11"/>
      <color theme="0" tint="-0.34998626667073579"/>
      <name val="Calibri"/>
      <family val="2"/>
      <scheme val="minor"/>
    </font>
    <font>
      <b/>
      <sz val="11"/>
      <color theme="0" tint="-0.34998626667073579"/>
      <name val="Calibri"/>
      <family val="2"/>
      <scheme val="minor"/>
    </font>
    <font>
      <sz val="9"/>
      <color theme="0" tint="-0.34998626667073579"/>
      <name val="Arial Narrow"/>
      <family val="2"/>
    </font>
    <font>
      <b/>
      <sz val="10"/>
      <color theme="0" tint="-0.34998626667073579"/>
      <name val="Arial"/>
      <family val="2"/>
    </font>
    <font>
      <b/>
      <sz val="9.5"/>
      <name val="Arial"/>
      <family val="2"/>
    </font>
  </fonts>
  <fills count="35">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99"/>
        <bgColor indexed="64"/>
      </patternFill>
    </fill>
  </fills>
  <borders count="94">
    <border>
      <left/>
      <right/>
      <top/>
      <bottom/>
      <diagonal/>
    </border>
    <border>
      <left/>
      <right/>
      <top style="double">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medium">
        <color indexed="64"/>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s>
  <cellStyleXfs count="62">
    <xf numFmtId="0" fontId="0" fillId="0" borderId="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8" fillId="27" borderId="0" applyNumberFormat="0" applyBorder="0" applyAlignment="0" applyProtection="0"/>
    <xf numFmtId="0" fontId="29" fillId="28" borderId="73" applyNumberFormat="0" applyAlignment="0" applyProtection="0"/>
    <xf numFmtId="0" fontId="30" fillId="29" borderId="74" applyNumberFormat="0" applyAlignment="0" applyProtection="0"/>
    <xf numFmtId="3" fontId="20" fillId="0" borderId="0"/>
    <xf numFmtId="3" fontId="9" fillId="0" borderId="0"/>
    <xf numFmtId="5" fontId="20" fillId="0" borderId="0"/>
    <xf numFmtId="5" fontId="9" fillId="0" borderId="0"/>
    <xf numFmtId="14" fontId="20" fillId="0" borderId="0"/>
    <xf numFmtId="14" fontId="9" fillId="0" borderId="0"/>
    <xf numFmtId="0" fontId="31" fillId="0" borderId="0" applyNumberFormat="0" applyFill="0" applyBorder="0" applyAlignment="0" applyProtection="0"/>
    <xf numFmtId="2" fontId="20" fillId="0" borderId="0"/>
    <xf numFmtId="2" fontId="9" fillId="0" borderId="0"/>
    <xf numFmtId="0" fontId="32" fillId="30" borderId="0" applyNumberFormat="0" applyBorder="0" applyAlignment="0" applyProtection="0"/>
    <xf numFmtId="0" fontId="1" fillId="0" borderId="0"/>
    <xf numFmtId="0" fontId="21" fillId="0" borderId="0"/>
    <xf numFmtId="0" fontId="33" fillId="0" borderId="75" applyNumberFormat="0" applyFill="0" applyAlignment="0" applyProtection="0"/>
    <xf numFmtId="0" fontId="2" fillId="0" borderId="0"/>
    <xf numFmtId="0" fontId="22" fillId="0" borderId="0"/>
    <xf numFmtId="0" fontId="34" fillId="0" borderId="76" applyNumberFormat="0" applyFill="0" applyAlignment="0" applyProtection="0"/>
    <xf numFmtId="0" fontId="35" fillId="0" borderId="77" applyNumberFormat="0" applyFill="0" applyAlignment="0" applyProtection="0"/>
    <xf numFmtId="0" fontId="35" fillId="0" borderId="0" applyNumberFormat="0" applyFill="0" applyBorder="0" applyAlignment="0" applyProtection="0"/>
    <xf numFmtId="0" fontId="17" fillId="0" borderId="0" applyNumberFormat="0" applyFill="0" applyBorder="0" applyAlignment="0" applyProtection="0">
      <alignment vertical="top"/>
      <protection locked="0"/>
    </xf>
    <xf numFmtId="0" fontId="36" fillId="31" borderId="73" applyNumberFormat="0" applyAlignment="0" applyProtection="0"/>
    <xf numFmtId="0" fontId="37" fillId="0" borderId="78" applyNumberFormat="0" applyFill="0" applyAlignment="0" applyProtection="0"/>
    <xf numFmtId="0" fontId="38" fillId="32" borderId="0" applyNumberFormat="0" applyBorder="0" applyAlignment="0" applyProtection="0"/>
    <xf numFmtId="0" fontId="9" fillId="0" borderId="0"/>
    <xf numFmtId="0" fontId="26" fillId="0" borderId="0"/>
    <xf numFmtId="0" fontId="26" fillId="33" borderId="79" applyNumberFormat="0" applyFont="0" applyAlignment="0" applyProtection="0"/>
    <xf numFmtId="0" fontId="39" fillId="28" borderId="80" applyNumberFormat="0" applyAlignment="0" applyProtection="0"/>
    <xf numFmtId="10" fontId="20" fillId="0" borderId="0"/>
    <xf numFmtId="10" fontId="9" fillId="0" borderId="0"/>
    <xf numFmtId="10" fontId="9" fillId="0" borderId="0"/>
    <xf numFmtId="0" fontId="40" fillId="0" borderId="0" applyNumberFormat="0" applyFill="0" applyBorder="0" applyAlignment="0" applyProtection="0"/>
    <xf numFmtId="0" fontId="20" fillId="0" borderId="1"/>
    <xf numFmtId="0" fontId="9" fillId="0" borderId="1"/>
    <xf numFmtId="0" fontId="41" fillId="0" borderId="81" applyNumberFormat="0" applyFill="0" applyAlignment="0" applyProtection="0"/>
    <xf numFmtId="0" fontId="42" fillId="0" borderId="0" applyNumberFormat="0" applyFill="0" applyBorder="0" applyAlignment="0" applyProtection="0"/>
  </cellStyleXfs>
  <cellXfs count="660">
    <xf numFmtId="0" fontId="0" fillId="0" borderId="0" xfId="0"/>
    <xf numFmtId="0" fontId="0" fillId="0" borderId="0" xfId="0"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1" fontId="10" fillId="0" borderId="4"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Alignment="1">
      <alignment horizontal="right"/>
    </xf>
    <xf numFmtId="0" fontId="0" fillId="0" borderId="0" xfId="0" applyAlignment="1">
      <alignment horizontal="center"/>
    </xf>
    <xf numFmtId="0" fontId="10" fillId="0" borderId="6" xfId="0" applyFont="1" applyBorder="1" applyAlignment="1">
      <alignment horizontal="left" vertical="center" wrapText="1"/>
    </xf>
    <xf numFmtId="1" fontId="10" fillId="0" borderId="7" xfId="0" applyNumberFormat="1" applyFont="1" applyBorder="1" applyAlignment="1">
      <alignment horizontal="center" vertical="center" wrapText="1"/>
    </xf>
    <xf numFmtId="1" fontId="10" fillId="0" borderId="8" xfId="0" applyNumberFormat="1" applyFont="1" applyBorder="1" applyAlignment="1">
      <alignment horizontal="center" vertical="center" wrapText="1"/>
    </xf>
    <xf numFmtId="0" fontId="10" fillId="0" borderId="9" xfId="0" applyFont="1" applyBorder="1" applyAlignment="1">
      <alignment horizontal="left" vertical="center" wrapText="1"/>
    </xf>
    <xf numFmtId="2" fontId="10" fillId="0" borderId="10" xfId="0" applyNumberFormat="1" applyFont="1" applyBorder="1" applyAlignment="1" applyProtection="1">
      <alignment horizontal="center" vertical="center" wrapText="1"/>
      <protection hidden="1"/>
    </xf>
    <xf numFmtId="2" fontId="10" fillId="0" borderId="4" xfId="0" applyNumberFormat="1" applyFont="1" applyBorder="1" applyAlignment="1" applyProtection="1">
      <alignment horizontal="center" vertical="center" wrapText="1"/>
      <protection hidden="1"/>
    </xf>
    <xf numFmtId="0" fontId="10" fillId="0" borderId="11" xfId="0" applyFont="1" applyBorder="1" applyAlignment="1">
      <alignment horizontal="right" vertical="center" wrapText="1"/>
    </xf>
    <xf numFmtId="0" fontId="10" fillId="0" borderId="3" xfId="0" applyFont="1" applyBorder="1" applyAlignment="1">
      <alignment horizontal="right" vertical="center"/>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5" fillId="2" borderId="14"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166" fontId="10" fillId="2" borderId="4" xfId="0" applyNumberFormat="1"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8" fillId="0" borderId="0" xfId="0" applyFont="1" applyAlignment="1">
      <alignment horizontal="center" vertical="top" wrapText="1"/>
    </xf>
    <xf numFmtId="0" fontId="0" fillId="0" borderId="0" xfId="0" applyAlignment="1">
      <alignment wrapText="1"/>
    </xf>
    <xf numFmtId="0" fontId="11" fillId="0" borderId="0" xfId="0" applyFont="1" applyAlignment="1">
      <alignment horizontal="left" vertical="top" wrapText="1"/>
    </xf>
    <xf numFmtId="0" fontId="10" fillId="0" borderId="19" xfId="0" applyFont="1" applyBorder="1" applyAlignment="1">
      <alignment horizontal="left" vertical="top" wrapText="1"/>
    </xf>
    <xf numFmtId="0" fontId="10" fillId="2" borderId="20" xfId="0" applyFont="1" applyFill="1" applyBorder="1" applyAlignment="1" applyProtection="1">
      <alignment horizontal="center" vertical="center" wrapText="1"/>
      <protection locked="0"/>
    </xf>
    <xf numFmtId="0" fontId="8" fillId="0" borderId="0" xfId="0" applyFont="1" applyAlignment="1">
      <alignment horizontal="left" vertical="top" wrapText="1"/>
    </xf>
    <xf numFmtId="0" fontId="10" fillId="0" borderId="0" xfId="0" applyFont="1"/>
    <xf numFmtId="0" fontId="10" fillId="0" borderId="4" xfId="0" applyFont="1" applyBorder="1" applyAlignment="1">
      <alignment horizontal="center" vertical="top" wrapText="1"/>
    </xf>
    <xf numFmtId="0" fontId="10" fillId="0" borderId="0" xfId="0" applyFont="1" applyAlignment="1">
      <alignment horizontal="center" vertical="top" wrapText="1"/>
    </xf>
    <xf numFmtId="0" fontId="8" fillId="0" borderId="0" xfId="0" applyFont="1"/>
    <xf numFmtId="0" fontId="11" fillId="0" borderId="21" xfId="0" applyFont="1" applyBorder="1" applyAlignment="1">
      <alignment horizontal="left" vertical="top" wrapText="1"/>
    </xf>
    <xf numFmtId="0" fontId="10" fillId="0" borderId="14" xfId="0" applyFont="1" applyBorder="1" applyAlignment="1">
      <alignment horizontal="center" vertical="top" wrapText="1"/>
    </xf>
    <xf numFmtId="0" fontId="10" fillId="0" borderId="22" xfId="0" applyFont="1" applyBorder="1" applyAlignment="1">
      <alignment horizontal="center" vertical="top" wrapText="1"/>
    </xf>
    <xf numFmtId="0" fontId="10" fillId="0" borderId="3" xfId="0" applyFont="1" applyBorder="1" applyAlignment="1">
      <alignment horizontal="center" vertical="top" wrapText="1"/>
    </xf>
    <xf numFmtId="0" fontId="10" fillId="0" borderId="21" xfId="0" applyFont="1" applyBorder="1" applyAlignment="1">
      <alignment horizontal="center" vertical="top" wrapText="1"/>
    </xf>
    <xf numFmtId="0" fontId="11" fillId="0" borderId="3" xfId="0" applyFont="1" applyBorder="1" applyAlignment="1">
      <alignment horizontal="right" vertical="top" wrapText="1"/>
    </xf>
    <xf numFmtId="0" fontId="11" fillId="0" borderId="21" xfId="0" applyFont="1" applyBorder="1" applyAlignment="1">
      <alignment horizontal="right" vertical="top" wrapText="1"/>
    </xf>
    <xf numFmtId="0" fontId="11" fillId="0" borderId="12" xfId="0" applyFont="1" applyBorder="1" applyAlignment="1">
      <alignment horizontal="left" vertical="top" wrapText="1"/>
    </xf>
    <xf numFmtId="0" fontId="10" fillId="0" borderId="12" xfId="0" applyFont="1" applyBorder="1" applyAlignment="1">
      <alignment horizontal="center" vertical="top" wrapText="1"/>
    </xf>
    <xf numFmtId="0" fontId="10" fillId="0" borderId="16" xfId="0" applyFont="1" applyBorder="1" applyAlignment="1">
      <alignment horizontal="center" vertical="top" wrapText="1"/>
    </xf>
    <xf numFmtId="0" fontId="10" fillId="0" borderId="8" xfId="0" applyFont="1" applyBorder="1" applyAlignment="1">
      <alignment horizontal="center" vertical="top" wrapText="1"/>
    </xf>
    <xf numFmtId="0" fontId="10" fillId="0" borderId="10" xfId="0" applyFont="1" applyBorder="1" applyAlignment="1">
      <alignment horizontal="center" vertical="top" wrapText="1"/>
    </xf>
    <xf numFmtId="0" fontId="8" fillId="0" borderId="0" xfId="0" applyFont="1" applyAlignment="1">
      <alignment vertical="top" wrapText="1"/>
    </xf>
    <xf numFmtId="0" fontId="11" fillId="0" borderId="6" xfId="0" applyFont="1" applyBorder="1" applyAlignment="1">
      <alignment horizontal="left" vertical="top" wrapText="1"/>
    </xf>
    <xf numFmtId="0" fontId="10" fillId="0" borderId="6" xfId="0" applyFont="1" applyBorder="1" applyAlignment="1">
      <alignment horizontal="center" vertical="top" wrapText="1"/>
    </xf>
    <xf numFmtId="0" fontId="11" fillId="0" borderId="23" xfId="0" applyFont="1" applyBorder="1" applyAlignment="1">
      <alignment horizontal="right" vertical="top" wrapText="1"/>
    </xf>
    <xf numFmtId="0" fontId="11" fillId="0" borderId="2" xfId="0" applyFont="1" applyBorder="1" applyAlignment="1">
      <alignment horizontal="right"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26" xfId="0" applyFont="1" applyBorder="1" applyAlignment="1">
      <alignment horizontal="center" vertical="top" wrapText="1"/>
    </xf>
    <xf numFmtId="0" fontId="19" fillId="0" borderId="0" xfId="0" applyFont="1"/>
    <xf numFmtId="0" fontId="10" fillId="2" borderId="14" xfId="0" applyFont="1" applyFill="1" applyBorder="1" applyAlignment="1" applyProtection="1">
      <alignment horizontal="center" vertical="center" wrapText="1"/>
      <protection locked="0"/>
    </xf>
    <xf numFmtId="0" fontId="0" fillId="0" borderId="0" xfId="0" applyAlignment="1">
      <alignment vertical="center"/>
    </xf>
    <xf numFmtId="0" fontId="10" fillId="2" borderId="15" xfId="0" applyFont="1" applyFill="1" applyBorder="1" applyAlignment="1" applyProtection="1">
      <alignment horizontal="center" vertical="top" wrapText="1"/>
      <protection locked="0"/>
    </xf>
    <xf numFmtId="0" fontId="10" fillId="2" borderId="27" xfId="0" applyFont="1" applyFill="1" applyBorder="1" applyAlignment="1" applyProtection="1">
      <alignment horizontal="center" vertical="top" wrapText="1"/>
      <protection locked="0"/>
    </xf>
    <xf numFmtId="0" fontId="10" fillId="2" borderId="7" xfId="0" applyFont="1" applyFill="1" applyBorder="1" applyAlignment="1" applyProtection="1">
      <alignment horizontal="center" vertical="top" wrapText="1"/>
      <protection locked="0"/>
    </xf>
    <xf numFmtId="0" fontId="10" fillId="2" borderId="28" xfId="0" applyFont="1" applyFill="1" applyBorder="1" applyAlignment="1" applyProtection="1">
      <alignment horizontal="center" vertical="top" wrapText="1"/>
      <protection locked="0"/>
    </xf>
    <xf numFmtId="0" fontId="10" fillId="2" borderId="10" xfId="0" applyFont="1" applyFill="1" applyBorder="1" applyAlignment="1" applyProtection="1">
      <alignment horizontal="center" vertical="top" wrapText="1"/>
      <protection locked="0"/>
    </xf>
    <xf numFmtId="0" fontId="10" fillId="2" borderId="4" xfId="0" applyFont="1" applyFill="1" applyBorder="1" applyAlignment="1" applyProtection="1">
      <alignment horizontal="center" vertical="top" wrapText="1"/>
      <protection locked="0"/>
    </xf>
    <xf numFmtId="0" fontId="10" fillId="2" borderId="17" xfId="0" applyFont="1" applyFill="1" applyBorder="1" applyAlignment="1" applyProtection="1">
      <alignment horizontal="center" vertical="top" wrapText="1"/>
      <protection locked="0"/>
    </xf>
    <xf numFmtId="0" fontId="10" fillId="2" borderId="16" xfId="0" applyFont="1" applyFill="1" applyBorder="1" applyAlignment="1" applyProtection="1">
      <alignment horizontal="center" vertical="top" wrapText="1"/>
      <protection locked="0"/>
    </xf>
    <xf numFmtId="0" fontId="10" fillId="2" borderId="8" xfId="0" applyFont="1" applyFill="1" applyBorder="1" applyAlignment="1" applyProtection="1">
      <alignment horizontal="center" vertical="top" wrapText="1"/>
      <protection locked="0"/>
    </xf>
    <xf numFmtId="0" fontId="10" fillId="2" borderId="29" xfId="0" applyFont="1" applyFill="1" applyBorder="1" applyAlignment="1" applyProtection="1">
      <alignment horizontal="center" vertical="top" wrapText="1"/>
      <protection locked="0"/>
    </xf>
    <xf numFmtId="0" fontId="10" fillId="2" borderId="18" xfId="0" applyFont="1" applyFill="1" applyBorder="1" applyAlignment="1" applyProtection="1">
      <alignment horizontal="center" vertical="top" wrapText="1"/>
      <protection locked="0"/>
    </xf>
    <xf numFmtId="0" fontId="10" fillId="2" borderId="14" xfId="0" applyFont="1" applyFill="1" applyBorder="1" applyAlignment="1" applyProtection="1">
      <alignment horizontal="center" vertical="top" wrapText="1"/>
      <protection locked="0"/>
    </xf>
    <xf numFmtId="0" fontId="10" fillId="2" borderId="22" xfId="0" applyFont="1" applyFill="1" applyBorder="1" applyAlignment="1" applyProtection="1">
      <alignment horizontal="center" vertical="top" wrapText="1"/>
      <protection locked="0"/>
    </xf>
    <xf numFmtId="0" fontId="10" fillId="0" borderId="15" xfId="0" applyFont="1" applyBorder="1" applyAlignment="1">
      <alignment horizontal="center"/>
    </xf>
    <xf numFmtId="0" fontId="10" fillId="2" borderId="8"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0" fillId="0" borderId="7" xfId="0" applyFont="1" applyBorder="1" applyAlignment="1">
      <alignment horizontal="center" vertical="top" wrapText="1"/>
    </xf>
    <xf numFmtId="0" fontId="10" fillId="0" borderId="30" xfId="0" applyFont="1" applyBorder="1" applyAlignment="1">
      <alignment horizontal="center" vertical="top" wrapText="1"/>
    </xf>
    <xf numFmtId="0" fontId="10" fillId="0" borderId="31" xfId="0" applyFont="1" applyBorder="1" applyAlignment="1">
      <alignment horizontal="center" vertical="top" wrapText="1"/>
    </xf>
    <xf numFmtId="0" fontId="8" fillId="0" borderId="5" xfId="0" applyFont="1" applyBorder="1" applyAlignment="1">
      <alignment horizontal="center" vertical="top" wrapText="1"/>
    </xf>
    <xf numFmtId="0" fontId="10" fillId="0" borderId="32" xfId="0" applyFont="1" applyBorder="1" applyAlignment="1">
      <alignment horizontal="center" vertical="top" wrapText="1"/>
    </xf>
    <xf numFmtId="0" fontId="10" fillId="0" borderId="33" xfId="0" applyFont="1" applyBorder="1" applyAlignment="1">
      <alignment horizontal="center" vertical="top" wrapText="1"/>
    </xf>
    <xf numFmtId="0" fontId="10" fillId="0" borderId="34" xfId="0" applyFont="1" applyBorder="1" applyAlignment="1">
      <alignment horizontal="center" vertical="top" wrapText="1"/>
    </xf>
    <xf numFmtId="0" fontId="10" fillId="0" borderId="35" xfId="0" applyFont="1" applyBorder="1" applyAlignment="1">
      <alignment horizontal="center" vertical="top" wrapText="1"/>
    </xf>
    <xf numFmtId="0" fontId="11" fillId="0" borderId="36" xfId="0" applyFont="1" applyBorder="1" applyAlignment="1">
      <alignment horizontal="right" vertical="top" wrapText="1"/>
    </xf>
    <xf numFmtId="0" fontId="10" fillId="2" borderId="37" xfId="0" applyFont="1" applyFill="1" applyBorder="1" applyAlignment="1" applyProtection="1">
      <alignment horizontal="center" vertical="top" wrapText="1"/>
      <protection locked="0"/>
    </xf>
    <xf numFmtId="0" fontId="10" fillId="2" borderId="34" xfId="0" applyFont="1" applyFill="1" applyBorder="1" applyAlignment="1" applyProtection="1">
      <alignment horizontal="center" vertical="top" wrapText="1"/>
      <protection locked="0"/>
    </xf>
    <xf numFmtId="0" fontId="10" fillId="2" borderId="38" xfId="0" applyFont="1" applyFill="1" applyBorder="1" applyAlignment="1" applyProtection="1">
      <alignment horizontal="center" vertical="top" wrapText="1"/>
      <protection locked="0"/>
    </xf>
    <xf numFmtId="0" fontId="11" fillId="0" borderId="39" xfId="0" applyFont="1" applyBorder="1" applyAlignment="1">
      <alignment horizontal="right" vertical="top" wrapText="1"/>
    </xf>
    <xf numFmtId="0" fontId="9" fillId="0" borderId="0" xfId="0" applyFont="1" applyAlignment="1">
      <alignment horizontal="center" vertical="top" wrapText="1"/>
    </xf>
    <xf numFmtId="0" fontId="8" fillId="0" borderId="0" xfId="0" applyFont="1" applyAlignment="1">
      <alignment horizontal="center" wrapText="1"/>
    </xf>
    <xf numFmtId="0" fontId="9" fillId="0" borderId="0" xfId="0" applyFont="1"/>
    <xf numFmtId="0" fontId="0" fillId="0" borderId="41" xfId="0" applyBorder="1"/>
    <xf numFmtId="0" fontId="43" fillId="0" borderId="0" xfId="0" applyFont="1"/>
    <xf numFmtId="0" fontId="10" fillId="0" borderId="11" xfId="0" applyFont="1" applyBorder="1" applyAlignment="1">
      <alignment horizontal="left" vertical="center" wrapText="1"/>
    </xf>
    <xf numFmtId="168" fontId="0" fillId="0" borderId="0" xfId="0" applyNumberFormat="1"/>
    <xf numFmtId="0" fontId="44" fillId="0" borderId="0" xfId="0" applyFont="1" applyAlignment="1">
      <alignment horizontal="right"/>
    </xf>
    <xf numFmtId="0" fontId="10" fillId="0" borderId="21" xfId="0" applyFont="1" applyBorder="1" applyAlignment="1">
      <alignment horizontal="left" vertical="center" wrapText="1"/>
    </xf>
    <xf numFmtId="1" fontId="10" fillId="0" borderId="14" xfId="0" applyNumberFormat="1" applyFont="1" applyBorder="1" applyAlignment="1">
      <alignment horizontal="center" vertical="center" wrapText="1"/>
    </xf>
    <xf numFmtId="0" fontId="43" fillId="0" borderId="0" xfId="0" applyFont="1" applyAlignment="1">
      <alignment horizontal="center" vertical="center" wrapText="1"/>
    </xf>
    <xf numFmtId="0" fontId="10" fillId="0" borderId="3" xfId="0" applyFont="1" applyBorder="1" applyAlignment="1">
      <alignment horizontal="left" vertical="top" wrapText="1"/>
    </xf>
    <xf numFmtId="0" fontId="10" fillId="0" borderId="36" xfId="0" applyFont="1" applyBorder="1"/>
    <xf numFmtId="0" fontId="10" fillId="0" borderId="19" xfId="0" applyFont="1" applyBorder="1" applyAlignment="1">
      <alignment wrapText="1"/>
    </xf>
    <xf numFmtId="0" fontId="10" fillId="0" borderId="3" xfId="0" applyFont="1" applyBorder="1"/>
    <xf numFmtId="0" fontId="10" fillId="0" borderId="3" xfId="0" applyFont="1" applyBorder="1" applyAlignment="1">
      <alignment wrapText="1"/>
    </xf>
    <xf numFmtId="0" fontId="10" fillId="0" borderId="36" xfId="0" applyFont="1" applyBorder="1" applyAlignment="1">
      <alignment horizontal="left" vertical="top" wrapText="1"/>
    </xf>
    <xf numFmtId="0" fontId="10" fillId="2" borderId="23" xfId="0" applyFont="1" applyFill="1" applyBorder="1" applyAlignment="1" applyProtection="1">
      <alignment horizontal="center"/>
      <protection locked="0"/>
    </xf>
    <xf numFmtId="0" fontId="10" fillId="2" borderId="25" xfId="0" applyFont="1" applyFill="1" applyBorder="1" applyAlignment="1" applyProtection="1">
      <alignment horizontal="center"/>
      <protection locked="0"/>
    </xf>
    <xf numFmtId="0" fontId="0" fillId="0" borderId="30" xfId="0" applyBorder="1"/>
    <xf numFmtId="166" fontId="9" fillId="0" borderId="0" xfId="0" applyNumberFormat="1" applyFont="1"/>
    <xf numFmtId="0" fontId="4" fillId="0" borderId="0" xfId="0" applyFont="1" applyAlignment="1">
      <alignment horizontal="right"/>
    </xf>
    <xf numFmtId="0" fontId="4" fillId="0" borderId="39" xfId="0" applyFont="1" applyBorder="1" applyAlignment="1">
      <alignment vertical="center" wrapText="1"/>
    </xf>
    <xf numFmtId="0" fontId="4" fillId="0" borderId="42" xfId="0" applyFont="1" applyBorder="1" applyAlignment="1">
      <alignment vertical="center" wrapText="1"/>
    </xf>
    <xf numFmtId="0" fontId="9" fillId="0" borderId="43" xfId="0" applyFont="1" applyBorder="1"/>
    <xf numFmtId="0" fontId="0" fillId="0" borderId="43" xfId="0" applyBorder="1"/>
    <xf numFmtId="0" fontId="0" fillId="0" borderId="44" xfId="0" applyBorder="1"/>
    <xf numFmtId="0" fontId="10" fillId="2" borderId="45" xfId="0" applyFont="1" applyFill="1" applyBorder="1" applyAlignment="1" applyProtection="1">
      <alignment horizontal="center"/>
      <protection locked="0"/>
    </xf>
    <xf numFmtId="0" fontId="10" fillId="2" borderId="24" xfId="0" applyFont="1" applyFill="1" applyBorder="1" applyAlignment="1" applyProtection="1">
      <alignment horizontal="center"/>
      <protection locked="0"/>
    </xf>
    <xf numFmtId="0" fontId="10" fillId="2" borderId="4" xfId="50" applyFont="1" applyFill="1" applyBorder="1" applyAlignment="1" applyProtection="1">
      <alignment horizontal="center" vertical="center" wrapText="1"/>
      <protection locked="0"/>
    </xf>
    <xf numFmtId="0" fontId="10" fillId="2" borderId="10" xfId="50" applyFont="1" applyFill="1" applyBorder="1" applyAlignment="1" applyProtection="1">
      <alignment horizontal="center" vertical="center" wrapText="1"/>
      <protection locked="0"/>
    </xf>
    <xf numFmtId="0" fontId="10" fillId="2" borderId="17" xfId="50" applyFont="1" applyFill="1" applyBorder="1" applyAlignment="1" applyProtection="1">
      <alignment horizontal="center" vertical="center" wrapText="1"/>
      <protection locked="0"/>
    </xf>
    <xf numFmtId="1" fontId="10" fillId="2" borderId="23" xfId="0" applyNumberFormat="1" applyFont="1" applyFill="1" applyBorder="1" applyAlignment="1" applyProtection="1">
      <alignment horizontal="center"/>
      <protection locked="0"/>
    </xf>
    <xf numFmtId="1" fontId="10" fillId="2" borderId="4" xfId="0" applyNumberFormat="1" applyFont="1" applyFill="1" applyBorder="1" applyAlignment="1" applyProtection="1">
      <alignment horizontal="center"/>
      <protection locked="0"/>
    </xf>
    <xf numFmtId="1" fontId="10" fillId="2" borderId="25" xfId="0" applyNumberFormat="1" applyFont="1" applyFill="1" applyBorder="1" applyAlignment="1" applyProtection="1">
      <alignment horizontal="center"/>
      <protection locked="0"/>
    </xf>
    <xf numFmtId="0" fontId="10" fillId="2" borderId="23" xfId="50" applyFont="1" applyFill="1" applyBorder="1" applyAlignment="1" applyProtection="1">
      <alignment horizontal="center" vertical="center" wrapText="1"/>
      <protection locked="0"/>
    </xf>
    <xf numFmtId="0" fontId="10" fillId="2" borderId="25" xfId="50" applyFont="1" applyFill="1" applyBorder="1" applyAlignment="1" applyProtection="1">
      <alignment horizontal="center" vertical="center" wrapText="1"/>
      <protection locked="0"/>
    </xf>
    <xf numFmtId="0" fontId="10" fillId="2" borderId="46" xfId="50" applyFont="1" applyFill="1" applyBorder="1" applyAlignment="1" applyProtection="1">
      <alignment horizontal="center" vertical="center" wrapText="1"/>
      <protection locked="0"/>
    </xf>
    <xf numFmtId="0" fontId="10" fillId="0" borderId="47" xfId="0" applyFont="1" applyBorder="1"/>
    <xf numFmtId="0" fontId="0" fillId="0" borderId="43" xfId="0" applyBorder="1" applyAlignment="1">
      <alignment horizontal="center"/>
    </xf>
    <xf numFmtId="0" fontId="0" fillId="0" borderId="44" xfId="0" applyBorder="1" applyAlignment="1">
      <alignment horizontal="center"/>
    </xf>
    <xf numFmtId="0" fontId="0" fillId="0" borderId="43" xfId="0" applyBorder="1" applyAlignment="1">
      <alignment horizontal="left"/>
    </xf>
    <xf numFmtId="0" fontId="0" fillId="0" borderId="44" xfId="0" applyBorder="1" applyAlignment="1">
      <alignment horizontal="left"/>
    </xf>
    <xf numFmtId="0" fontId="10" fillId="0" borderId="23" xfId="0" applyFont="1" applyBorder="1"/>
    <xf numFmtId="0" fontId="4" fillId="0" borderId="43" xfId="0" applyFont="1" applyBorder="1"/>
    <xf numFmtId="0" fontId="10" fillId="0" borderId="0" xfId="0" applyFont="1" applyAlignment="1">
      <alignment horizontal="right"/>
    </xf>
    <xf numFmtId="0" fontId="10" fillId="0" borderId="45" xfId="0" applyFont="1" applyBorder="1" applyAlignment="1">
      <alignment horizontal="left" vertical="top"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10" fillId="0" borderId="47" xfId="0" applyFont="1" applyBorder="1" applyAlignment="1">
      <alignment horizontal="left" wrapText="1"/>
    </xf>
    <xf numFmtId="0" fontId="10" fillId="0" borderId="25" xfId="0" applyFont="1" applyBorder="1" applyAlignment="1">
      <alignment horizontal="left" wrapText="1"/>
    </xf>
    <xf numFmtId="0" fontId="10" fillId="0" borderId="48" xfId="0" applyFont="1" applyBorder="1" applyAlignment="1">
      <alignment horizontal="center" wrapText="1"/>
    </xf>
    <xf numFmtId="0" fontId="10" fillId="0" borderId="24" xfId="0" applyFont="1" applyBorder="1" applyAlignment="1">
      <alignment horizontal="center" wrapText="1"/>
    </xf>
    <xf numFmtId="0" fontId="0" fillId="0" borderId="47" xfId="0" applyBorder="1"/>
    <xf numFmtId="0" fontId="0" fillId="0" borderId="25" xfId="0" applyBorder="1"/>
    <xf numFmtId="0" fontId="17" fillId="0" borderId="0" xfId="46" applyAlignment="1" applyProtection="1"/>
    <xf numFmtId="0" fontId="45" fillId="0" borderId="0" xfId="0" applyFont="1"/>
    <xf numFmtId="0" fontId="45" fillId="0" borderId="0" xfId="0" applyFont="1" applyAlignment="1">
      <alignment horizontal="center"/>
    </xf>
    <xf numFmtId="0" fontId="45" fillId="0" borderId="0" xfId="0" applyFont="1" applyProtection="1">
      <protection hidden="1"/>
    </xf>
    <xf numFmtId="0" fontId="45" fillId="0" borderId="0" xfId="0" applyFont="1" applyAlignment="1">
      <alignment horizontal="left"/>
    </xf>
    <xf numFmtId="166" fontId="45" fillId="0" borderId="0" xfId="0" applyNumberFormat="1" applyFont="1" applyAlignment="1">
      <alignment horizontal="center"/>
    </xf>
    <xf numFmtId="0" fontId="10" fillId="0" borderId="4" xfId="0" applyFont="1" applyBorder="1" applyAlignment="1">
      <alignment horizontal="center"/>
    </xf>
    <xf numFmtId="1" fontId="10" fillId="0" borderId="4" xfId="0" applyNumberFormat="1" applyFont="1" applyBorder="1" applyAlignment="1">
      <alignment horizontal="center"/>
    </xf>
    <xf numFmtId="1" fontId="10" fillId="0" borderId="8" xfId="0" applyNumberFormat="1" applyFont="1" applyBorder="1" applyAlignment="1">
      <alignment horizontal="center"/>
    </xf>
    <xf numFmtId="2" fontId="10" fillId="0" borderId="23" xfId="0" applyNumberFormat="1" applyFont="1" applyBorder="1" applyAlignment="1">
      <alignment horizontal="center"/>
    </xf>
    <xf numFmtId="2" fontId="10" fillId="0" borderId="4" xfId="0" applyNumberFormat="1" applyFont="1" applyBorder="1" applyAlignment="1">
      <alignment horizontal="center"/>
    </xf>
    <xf numFmtId="2" fontId="10" fillId="0" borderId="25" xfId="0" applyNumberFormat="1" applyFont="1" applyBorder="1" applyAlignment="1">
      <alignment horizontal="center"/>
    </xf>
    <xf numFmtId="166" fontId="10" fillId="0" borderId="23" xfId="0" applyNumberFormat="1" applyFont="1" applyBorder="1" applyAlignment="1">
      <alignment horizontal="center"/>
    </xf>
    <xf numFmtId="166" fontId="10" fillId="0" borderId="4" xfId="0" applyNumberFormat="1" applyFont="1" applyBorder="1" applyAlignment="1">
      <alignment horizontal="center"/>
    </xf>
    <xf numFmtId="166" fontId="10" fillId="0" borderId="25" xfId="0" applyNumberFormat="1" applyFont="1" applyBorder="1" applyAlignment="1">
      <alignment horizontal="center"/>
    </xf>
    <xf numFmtId="164" fontId="10" fillId="0" borderId="2" xfId="0" applyNumberFormat="1" applyFont="1" applyBorder="1" applyAlignment="1">
      <alignment horizontal="center"/>
    </xf>
    <xf numFmtId="164" fontId="10" fillId="0" borderId="14" xfId="0" applyNumberFormat="1" applyFont="1" applyBorder="1" applyAlignment="1">
      <alignment horizontal="center"/>
    </xf>
    <xf numFmtId="164" fontId="10" fillId="0" borderId="26" xfId="0" applyNumberFormat="1" applyFont="1" applyBorder="1" applyAlignment="1">
      <alignment horizontal="center"/>
    </xf>
    <xf numFmtId="166" fontId="10" fillId="0" borderId="45" xfId="0" applyNumberFormat="1" applyFont="1" applyBorder="1" applyAlignment="1">
      <alignment horizontal="center"/>
    </xf>
    <xf numFmtId="166" fontId="10" fillId="0" borderId="8" xfId="0" applyNumberFormat="1" applyFont="1" applyBorder="1" applyAlignment="1">
      <alignment horizontal="center"/>
    </xf>
    <xf numFmtId="166" fontId="10" fillId="0" borderId="24" xfId="0" applyNumberFormat="1" applyFont="1" applyBorder="1" applyAlignment="1">
      <alignment horizontal="center"/>
    </xf>
    <xf numFmtId="0" fontId="15" fillId="0" borderId="15" xfId="0" applyFont="1" applyBorder="1" applyAlignment="1">
      <alignment horizontal="center" vertical="center" wrapText="1"/>
    </xf>
    <xf numFmtId="0" fontId="10" fillId="0" borderId="49" xfId="0" applyFont="1" applyBorder="1" applyAlignment="1">
      <alignment horizontal="center"/>
    </xf>
    <xf numFmtId="0" fontId="10" fillId="0" borderId="50" xfId="0" applyFont="1" applyBorder="1" applyAlignment="1">
      <alignment horizontal="center"/>
    </xf>
    <xf numFmtId="166" fontId="10" fillId="0" borderId="37" xfId="0" applyNumberFormat="1" applyFont="1" applyBorder="1" applyAlignment="1">
      <alignment horizontal="center"/>
    </xf>
    <xf numFmtId="166" fontId="10" fillId="0" borderId="7" xfId="0" applyNumberFormat="1" applyFont="1" applyBorder="1" applyAlignment="1">
      <alignment horizontal="center"/>
    </xf>
    <xf numFmtId="2" fontId="10" fillId="0" borderId="14" xfId="0" applyNumberFormat="1" applyFont="1" applyBorder="1" applyAlignment="1">
      <alignment horizontal="center"/>
    </xf>
    <xf numFmtId="2" fontId="10" fillId="0" borderId="51" xfId="0" applyNumberFormat="1" applyFont="1" applyBorder="1" applyAlignment="1">
      <alignment horizontal="center"/>
    </xf>
    <xf numFmtId="166" fontId="10" fillId="0" borderId="51" xfId="0" applyNumberFormat="1" applyFont="1" applyBorder="1" applyAlignment="1">
      <alignment horizontal="center"/>
    </xf>
    <xf numFmtId="166" fontId="10" fillId="0" borderId="2" xfId="0" applyNumberFormat="1" applyFont="1" applyBorder="1" applyAlignment="1">
      <alignment horizontal="center"/>
    </xf>
    <xf numFmtId="166" fontId="10" fillId="0" borderId="14" xfId="0" applyNumberFormat="1" applyFont="1" applyBorder="1" applyAlignment="1">
      <alignment horizontal="center"/>
    </xf>
    <xf numFmtId="166" fontId="10" fillId="0" borderId="26" xfId="0" applyNumberFormat="1" applyFont="1" applyBorder="1" applyAlignment="1">
      <alignment horizontal="center"/>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44" xfId="0" applyFont="1" applyBorder="1" applyAlignment="1">
      <alignment horizontal="center" vertical="center" wrapText="1"/>
    </xf>
    <xf numFmtId="0" fontId="10" fillId="0" borderId="14" xfId="0" applyFont="1" applyBorder="1" applyAlignment="1">
      <alignment horizontal="center"/>
    </xf>
    <xf numFmtId="0" fontId="10" fillId="0" borderId="10" xfId="0" applyFont="1" applyBorder="1" applyAlignment="1">
      <alignment horizontal="center"/>
    </xf>
    <xf numFmtId="0" fontId="10" fillId="0" borderId="17" xfId="0" applyFont="1" applyBorder="1" applyAlignment="1">
      <alignment horizontal="center"/>
    </xf>
    <xf numFmtId="166" fontId="10" fillId="0" borderId="49" xfId="0" applyNumberFormat="1" applyFont="1" applyBorder="1" applyAlignment="1">
      <alignment horizontal="center"/>
    </xf>
    <xf numFmtId="166" fontId="10" fillId="0" borderId="50" xfId="0" applyNumberFormat="1" applyFont="1" applyBorder="1" applyAlignment="1">
      <alignment horizontal="center"/>
    </xf>
    <xf numFmtId="166" fontId="11" fillId="0" borderId="2" xfId="0" applyNumberFormat="1" applyFont="1" applyBorder="1" applyAlignment="1">
      <alignment horizontal="center"/>
    </xf>
    <xf numFmtId="166" fontId="11" fillId="0" borderId="14" xfId="0" applyNumberFormat="1" applyFont="1" applyBorder="1" applyAlignment="1">
      <alignment horizontal="center"/>
    </xf>
    <xf numFmtId="0" fontId="10" fillId="0" borderId="4" xfId="0" applyFont="1" applyBorder="1" applyAlignment="1" applyProtection="1">
      <alignment horizontal="center" vertical="center"/>
      <protection hidden="1"/>
    </xf>
    <xf numFmtId="0" fontId="10" fillId="34" borderId="23" xfId="50" applyFont="1" applyFill="1" applyBorder="1" applyAlignment="1" applyProtection="1">
      <alignment horizontal="center" vertical="center" wrapText="1"/>
      <protection locked="0"/>
    </xf>
    <xf numFmtId="0" fontId="10" fillId="34" borderId="4" xfId="50" applyFont="1" applyFill="1" applyBorder="1" applyAlignment="1" applyProtection="1">
      <alignment horizontal="center" vertical="center" wrapText="1"/>
      <protection locked="0"/>
    </xf>
    <xf numFmtId="0" fontId="10" fillId="34" borderId="25" xfId="50" applyFont="1" applyFill="1" applyBorder="1" applyAlignment="1" applyProtection="1">
      <alignment horizontal="center" vertical="center" wrapText="1"/>
      <protection locked="0"/>
    </xf>
    <xf numFmtId="0" fontId="11" fillId="0" borderId="52" xfId="0" applyFont="1" applyBorder="1" applyAlignment="1">
      <alignment horizontal="center" wrapText="1"/>
    </xf>
    <xf numFmtId="0" fontId="11" fillId="0" borderId="0" xfId="0" applyFont="1" applyAlignment="1">
      <alignment horizontal="center" wrapText="1"/>
    </xf>
    <xf numFmtId="0" fontId="10" fillId="0" borderId="0" xfId="0" applyFont="1" applyAlignment="1">
      <alignment horizontal="center"/>
    </xf>
    <xf numFmtId="0" fontId="10" fillId="0" borderId="0" xfId="0" applyFont="1" applyAlignment="1">
      <alignment horizontal="left" wrapText="1"/>
    </xf>
    <xf numFmtId="0" fontId="10" fillId="0" borderId="53" xfId="0" applyFont="1" applyBorder="1" applyAlignment="1">
      <alignment horizontal="left" wrapText="1"/>
    </xf>
    <xf numFmtId="0" fontId="0" fillId="0" borderId="49" xfId="0" applyBorder="1" applyAlignment="1">
      <alignment horizontal="center"/>
    </xf>
    <xf numFmtId="0" fontId="0" fillId="0" borderId="2" xfId="0" applyBorder="1"/>
    <xf numFmtId="0" fontId="0" fillId="0" borderId="54" xfId="0" applyBorder="1"/>
    <xf numFmtId="0" fontId="0" fillId="0" borderId="26" xfId="0" applyBorder="1"/>
    <xf numFmtId="0" fontId="10" fillId="0" borderId="0" xfId="0" applyFont="1" applyAlignment="1">
      <alignment horizontal="center" vertical="center" wrapText="1"/>
    </xf>
    <xf numFmtId="0" fontId="11" fillId="0" borderId="49" xfId="0" applyFont="1" applyBorder="1" applyAlignment="1">
      <alignment wrapText="1"/>
    </xf>
    <xf numFmtId="0" fontId="10" fillId="34" borderId="47" xfId="0" applyFont="1" applyFill="1" applyBorder="1" applyAlignment="1" applyProtection="1">
      <alignment horizontal="center"/>
      <protection locked="0"/>
    </xf>
    <xf numFmtId="0" fontId="10" fillId="34" borderId="17" xfId="0" applyFont="1" applyFill="1" applyBorder="1" applyAlignment="1" applyProtection="1">
      <alignment horizontal="center"/>
      <protection locked="0"/>
    </xf>
    <xf numFmtId="0" fontId="10" fillId="0" borderId="5" xfId="0" applyFont="1" applyBorder="1" applyAlignment="1">
      <alignment horizontal="centerContinuous" vertical="center"/>
    </xf>
    <xf numFmtId="2" fontId="10" fillId="0" borderId="0" xfId="0" applyNumberFormat="1" applyFont="1" applyAlignment="1">
      <alignment horizontal="right"/>
    </xf>
    <xf numFmtId="166" fontId="46" fillId="0" borderId="43" xfId="0" applyNumberFormat="1" applyFont="1" applyBorder="1" applyAlignment="1">
      <alignment horizontal="left"/>
    </xf>
    <xf numFmtId="0" fontId="10" fillId="0" borderId="43" xfId="0" applyFont="1" applyBorder="1" applyAlignment="1">
      <alignment horizontal="left" wrapText="1"/>
    </xf>
    <xf numFmtId="0" fontId="10" fillId="0" borderId="44" xfId="0" applyFont="1" applyBorder="1" applyAlignment="1">
      <alignment horizontal="left" wrapText="1"/>
    </xf>
    <xf numFmtId="9" fontId="10" fillId="0" borderId="10" xfId="54" applyNumberFormat="1" applyFont="1" applyBorder="1" applyAlignment="1">
      <alignment horizontal="center"/>
    </xf>
    <xf numFmtId="9" fontId="10" fillId="0" borderId="4" xfId="54" applyNumberFormat="1" applyFont="1" applyBorder="1" applyAlignment="1">
      <alignment horizontal="center"/>
    </xf>
    <xf numFmtId="0" fontId="0" fillId="0" borderId="49" xfId="0" applyBorder="1"/>
    <xf numFmtId="0" fontId="0" fillId="0" borderId="52" xfId="0" applyBorder="1"/>
    <xf numFmtId="0" fontId="10" fillId="0" borderId="11" xfId="0" applyFont="1" applyBorder="1" applyAlignment="1">
      <alignment horizontal="center" vertical="top" wrapText="1"/>
    </xf>
    <xf numFmtId="0" fontId="4" fillId="0" borderId="0" xfId="0" applyFont="1"/>
    <xf numFmtId="0" fontId="10" fillId="0" borderId="42" xfId="0" applyFont="1" applyBorder="1" applyAlignment="1">
      <alignment horizontal="left" vertical="center" wrapText="1"/>
    </xf>
    <xf numFmtId="0" fontId="0" fillId="0" borderId="53" xfId="0" applyBorder="1" applyAlignment="1">
      <alignment horizontal="left" vertical="center" wrapText="1"/>
    </xf>
    <xf numFmtId="166" fontId="47" fillId="0" borderId="49" xfId="0" applyNumberFormat="1" applyFont="1" applyBorder="1" applyAlignment="1">
      <alignment horizontal="left"/>
    </xf>
    <xf numFmtId="0" fontId="45" fillId="0" borderId="0" xfId="0" applyFont="1" applyAlignment="1" applyProtection="1">
      <alignment horizontal="center" vertical="center" wrapText="1"/>
      <protection hidden="1"/>
    </xf>
    <xf numFmtId="0" fontId="45" fillId="0" borderId="0" xfId="0" applyFont="1" applyAlignment="1">
      <alignment horizontal="center" vertical="center" wrapText="1"/>
    </xf>
    <xf numFmtId="0" fontId="48" fillId="0" borderId="0" xfId="51" applyFont="1"/>
    <xf numFmtId="0" fontId="49" fillId="0" borderId="0" xfId="51" applyFont="1" applyAlignment="1">
      <alignment horizontal="center"/>
    </xf>
    <xf numFmtId="0" fontId="48" fillId="0" borderId="0" xfId="51" applyFont="1" applyAlignment="1">
      <alignment horizontal="center"/>
    </xf>
    <xf numFmtId="0" fontId="45" fillId="0" borderId="52" xfId="0" applyFont="1" applyBorder="1" applyAlignment="1">
      <alignment horizontal="right"/>
    </xf>
    <xf numFmtId="0" fontId="50" fillId="0" borderId="0" xfId="0" applyFont="1" applyAlignment="1">
      <alignment vertical="top" wrapText="1"/>
    </xf>
    <xf numFmtId="0" fontId="45" fillId="0" borderId="82" xfId="0" applyFont="1" applyBorder="1"/>
    <xf numFmtId="0" fontId="48" fillId="0" borderId="83" xfId="51" applyFont="1" applyBorder="1" applyAlignment="1">
      <alignment horizontal="center"/>
    </xf>
    <xf numFmtId="0" fontId="45" fillId="0" borderId="84" xfId="0" applyFont="1" applyBorder="1"/>
    <xf numFmtId="0" fontId="48" fillId="0" borderId="84" xfId="51" applyFont="1" applyBorder="1"/>
    <xf numFmtId="0" fontId="45" fillId="0" borderId="85" xfId="0" applyFont="1" applyBorder="1"/>
    <xf numFmtId="0" fontId="45" fillId="0" borderId="86" xfId="0" applyFont="1" applyBorder="1"/>
    <xf numFmtId="0" fontId="45" fillId="0" borderId="87" xfId="0" applyFont="1" applyBorder="1"/>
    <xf numFmtId="0" fontId="45" fillId="0" borderId="88" xfId="0" applyFont="1" applyBorder="1"/>
    <xf numFmtId="0" fontId="45" fillId="0" borderId="84" xfId="0" applyFont="1" applyBorder="1" applyAlignment="1">
      <alignment horizontal="right"/>
    </xf>
    <xf numFmtId="0" fontId="45" fillId="0" borderId="83" xfId="0" applyFont="1" applyBorder="1"/>
    <xf numFmtId="0" fontId="45" fillId="0" borderId="82" xfId="0" applyFont="1" applyBorder="1" applyAlignment="1">
      <alignment horizontal="center"/>
    </xf>
    <xf numFmtId="0" fontId="45" fillId="0" borderId="83" xfId="0" applyFont="1" applyBorder="1" applyAlignment="1">
      <alignment horizontal="center"/>
    </xf>
    <xf numFmtId="0" fontId="45" fillId="0" borderId="89" xfId="0" applyFont="1" applyBorder="1" applyAlignment="1">
      <alignment horizontal="right"/>
    </xf>
    <xf numFmtId="0" fontId="48" fillId="0" borderId="85" xfId="51" applyFont="1" applyBorder="1"/>
    <xf numFmtId="0" fontId="51" fillId="0" borderId="82" xfId="0" applyFont="1" applyBorder="1" applyAlignment="1">
      <alignment horizontal="center"/>
    </xf>
    <xf numFmtId="0" fontId="45" fillId="0" borderId="84" xfId="0" applyFont="1" applyBorder="1" applyAlignment="1">
      <alignment horizontal="center"/>
    </xf>
    <xf numFmtId="0" fontId="48" fillId="0" borderId="87" xfId="51" applyFont="1" applyBorder="1"/>
    <xf numFmtId="0" fontId="48" fillId="0" borderId="90" xfId="51" applyFont="1" applyBorder="1" applyAlignment="1">
      <alignment horizontal="center"/>
    </xf>
    <xf numFmtId="166" fontId="10" fillId="0" borderId="22" xfId="0" applyNumberFormat="1" applyFont="1" applyBorder="1" applyAlignment="1">
      <alignment horizontal="center"/>
    </xf>
    <xf numFmtId="166" fontId="10" fillId="0" borderId="18" xfId="0" applyNumberFormat="1" applyFont="1" applyBorder="1" applyAlignment="1">
      <alignment horizontal="center"/>
    </xf>
    <xf numFmtId="49" fontId="45" fillId="0" borderId="0" xfId="0" applyNumberFormat="1" applyFont="1" applyAlignment="1">
      <alignment horizontal="center"/>
    </xf>
    <xf numFmtId="0" fontId="45" fillId="0" borderId="0" xfId="0" applyFont="1" applyAlignment="1">
      <alignment wrapText="1"/>
    </xf>
    <xf numFmtId="0" fontId="45" fillId="0" borderId="84" xfId="0" applyFont="1" applyBorder="1" applyAlignment="1">
      <alignment wrapText="1"/>
    </xf>
    <xf numFmtId="0" fontId="45" fillId="0" borderId="85" xfId="0" applyFont="1" applyBorder="1" applyAlignment="1">
      <alignment horizontal="center"/>
    </xf>
    <xf numFmtId="0" fontId="45" fillId="0" borderId="86" xfId="0" applyFont="1" applyBorder="1" applyAlignment="1">
      <alignment wrapText="1"/>
    </xf>
    <xf numFmtId="0" fontId="45" fillId="0" borderId="87" xfId="0" applyFont="1" applyBorder="1" applyAlignment="1">
      <alignment wrapText="1"/>
    </xf>
    <xf numFmtId="0" fontId="45" fillId="0" borderId="87" xfId="0" applyFont="1" applyBorder="1" applyAlignment="1">
      <alignment horizontal="center"/>
    </xf>
    <xf numFmtId="0" fontId="45" fillId="0" borderId="0" xfId="0" applyFont="1" applyAlignment="1">
      <alignment horizontal="right"/>
    </xf>
    <xf numFmtId="0" fontId="45" fillId="0" borderId="86" xfId="0" applyFont="1" applyBorder="1" applyAlignment="1">
      <alignment horizontal="center"/>
    </xf>
    <xf numFmtId="1" fontId="10" fillId="2" borderId="34" xfId="0" applyNumberFormat="1" applyFont="1" applyFill="1" applyBorder="1" applyAlignment="1" applyProtection="1">
      <alignment horizontal="center"/>
      <protection locked="0"/>
    </xf>
    <xf numFmtId="1" fontId="10" fillId="2" borderId="51" xfId="0" applyNumberFormat="1" applyFont="1" applyFill="1" applyBorder="1" applyAlignment="1" applyProtection="1">
      <alignment horizontal="center"/>
      <protection locked="0"/>
    </xf>
    <xf numFmtId="0" fontId="15" fillId="0" borderId="55" xfId="0" applyFont="1" applyBorder="1" applyAlignment="1">
      <alignment horizontal="center" vertical="center" wrapText="1"/>
    </xf>
    <xf numFmtId="166" fontId="10" fillId="0" borderId="27" xfId="0" applyNumberFormat="1" applyFont="1" applyBorder="1" applyAlignment="1">
      <alignment horizontal="center"/>
    </xf>
    <xf numFmtId="166" fontId="10" fillId="0" borderId="28" xfId="0" applyNumberFormat="1" applyFont="1" applyBorder="1" applyAlignment="1">
      <alignment horizontal="center"/>
    </xf>
    <xf numFmtId="166" fontId="10" fillId="0" borderId="10" xfId="0" applyNumberFormat="1" applyFont="1" applyBorder="1" applyAlignment="1">
      <alignment horizontal="center"/>
    </xf>
    <xf numFmtId="166" fontId="10" fillId="0" borderId="17" xfId="0" applyNumberFormat="1" applyFont="1" applyBorder="1" applyAlignment="1">
      <alignment horizontal="center"/>
    </xf>
    <xf numFmtId="166" fontId="10" fillId="0" borderId="56" xfId="0" applyNumberFormat="1" applyFont="1" applyBorder="1" applyAlignment="1">
      <alignment horizontal="center"/>
    </xf>
    <xf numFmtId="166" fontId="10" fillId="0" borderId="20" xfId="0" applyNumberFormat="1" applyFont="1" applyBorder="1" applyAlignment="1">
      <alignment horizontal="center"/>
    </xf>
    <xf numFmtId="166" fontId="10" fillId="0" borderId="57" xfId="0" applyNumberFormat="1" applyFont="1" applyBorder="1" applyAlignment="1">
      <alignment horizontal="center"/>
    </xf>
    <xf numFmtId="2" fontId="10" fillId="0" borderId="10" xfId="0" applyNumberFormat="1" applyFont="1" applyBorder="1" applyAlignment="1">
      <alignment horizontal="center"/>
    </xf>
    <xf numFmtId="2" fontId="10" fillId="0" borderId="17" xfId="0" applyNumberFormat="1" applyFont="1" applyBorder="1" applyAlignment="1">
      <alignment horizontal="center"/>
    </xf>
    <xf numFmtId="0" fontId="51" fillId="0" borderId="0" xfId="0" applyFont="1" applyAlignment="1">
      <alignment horizontal="center"/>
    </xf>
    <xf numFmtId="9" fontId="45" fillId="0" borderId="0" xfId="0" applyNumberFormat="1" applyFont="1" applyAlignment="1">
      <alignment horizontal="center"/>
    </xf>
    <xf numFmtId="0" fontId="45" fillId="0" borderId="91" xfId="0" applyFont="1" applyBorder="1"/>
    <xf numFmtId="0" fontId="45" fillId="0" borderId="92" xfId="0" applyFont="1" applyBorder="1"/>
    <xf numFmtId="0" fontId="45" fillId="0" borderId="93" xfId="0" applyFont="1" applyBorder="1"/>
    <xf numFmtId="0" fontId="45" fillId="0" borderId="82" xfId="0" applyFont="1" applyBorder="1" applyAlignment="1">
      <alignment wrapText="1"/>
    </xf>
    <xf numFmtId="0" fontId="45" fillId="0" borderId="88" xfId="0" applyFont="1" applyBorder="1" applyAlignment="1">
      <alignment wrapText="1"/>
    </xf>
    <xf numFmtId="2" fontId="45" fillId="0" borderId="85" xfId="0" applyNumberFormat="1" applyFont="1" applyBorder="1" applyAlignment="1">
      <alignment horizontal="center"/>
    </xf>
    <xf numFmtId="2" fontId="45" fillId="0" borderId="0" xfId="0" applyNumberFormat="1" applyFont="1" applyAlignment="1">
      <alignment horizontal="center"/>
    </xf>
    <xf numFmtId="0" fontId="0" fillId="0" borderId="52" xfId="0" applyBorder="1" applyAlignment="1">
      <alignment horizontal="center" vertical="center" wrapText="1"/>
    </xf>
    <xf numFmtId="167" fontId="0" fillId="0" borderId="0" xfId="0" applyNumberFormat="1" applyAlignment="1">
      <alignment horizontal="center" vertical="center" wrapText="1"/>
    </xf>
    <xf numFmtId="0" fontId="5" fillId="0" borderId="53" xfId="0" applyFont="1" applyBorder="1" applyAlignment="1">
      <alignment horizontal="center" vertical="center" wrapText="1"/>
    </xf>
    <xf numFmtId="0" fontId="10" fillId="0" borderId="39" xfId="0" applyFont="1" applyBorder="1" applyAlignment="1">
      <alignment horizontal="left" vertical="center"/>
    </xf>
    <xf numFmtId="0" fontId="10" fillId="0" borderId="39" xfId="0" applyFont="1" applyBorder="1" applyAlignment="1">
      <alignment horizontal="left" vertical="center" wrapText="1"/>
    </xf>
    <xf numFmtId="0" fontId="10" fillId="0" borderId="52" xfId="0" applyFont="1" applyBorder="1" applyAlignment="1">
      <alignment horizontal="left" vertical="top" wrapText="1"/>
    </xf>
    <xf numFmtId="0" fontId="0" fillId="0" borderId="53" xfId="0" applyBorder="1"/>
    <xf numFmtId="166" fontId="10" fillId="0" borderId="34" xfId="0" applyNumberFormat="1" applyFont="1" applyBorder="1" applyAlignment="1">
      <alignment horizontal="center"/>
    </xf>
    <xf numFmtId="2" fontId="10" fillId="0" borderId="34" xfId="0" applyNumberFormat="1" applyFont="1" applyBorder="1" applyAlignment="1">
      <alignment horizontal="center"/>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0" fillId="0" borderId="0" xfId="0" applyAlignment="1">
      <alignment horizontal="left"/>
    </xf>
    <xf numFmtId="0" fontId="0" fillId="0" borderId="53" xfId="0" applyBorder="1" applyAlignment="1">
      <alignment horizontal="left"/>
    </xf>
    <xf numFmtId="14" fontId="10" fillId="0" borderId="0" xfId="0" applyNumberFormat="1" applyFont="1" applyAlignment="1">
      <alignment horizontal="right"/>
    </xf>
    <xf numFmtId="0" fontId="10" fillId="2" borderId="10" xfId="0" applyFont="1" applyFill="1" applyBorder="1" applyAlignment="1" applyProtection="1">
      <alignment horizontal="center"/>
      <protection locked="0"/>
    </xf>
    <xf numFmtId="1" fontId="10" fillId="0" borderId="10" xfId="0" applyNumberFormat="1" applyFont="1" applyBorder="1" applyAlignment="1">
      <alignment horizontal="center"/>
    </xf>
    <xf numFmtId="1" fontId="10" fillId="0" borderId="17" xfId="0" applyNumberFormat="1" applyFont="1" applyBorder="1" applyAlignment="1">
      <alignment horizontal="center"/>
    </xf>
    <xf numFmtId="0" fontId="10" fillId="0" borderId="18" xfId="0" applyFont="1" applyBorder="1" applyAlignment="1">
      <alignment horizontal="center"/>
    </xf>
    <xf numFmtId="0" fontId="10" fillId="0" borderId="22" xfId="0" applyFont="1" applyBorder="1" applyAlignment="1">
      <alignment horizontal="center"/>
    </xf>
    <xf numFmtId="1" fontId="10" fillId="0" borderId="16" xfId="0" applyNumberFormat="1" applyFont="1" applyBorder="1" applyAlignment="1">
      <alignment horizontal="center"/>
    </xf>
    <xf numFmtId="1" fontId="10" fillId="0" borderId="29" xfId="0" applyNumberFormat="1" applyFont="1" applyBorder="1" applyAlignment="1">
      <alignment horizontal="center"/>
    </xf>
    <xf numFmtId="1" fontId="10" fillId="2" borderId="10" xfId="0" applyNumberFormat="1" applyFont="1" applyFill="1" applyBorder="1" applyAlignment="1" applyProtection="1">
      <alignment horizontal="center"/>
      <protection locked="0"/>
    </xf>
    <xf numFmtId="1" fontId="10" fillId="2" borderId="17" xfId="0" applyNumberFormat="1" applyFont="1" applyFill="1" applyBorder="1" applyAlignment="1" applyProtection="1">
      <alignment horizontal="center"/>
      <protection locked="0"/>
    </xf>
    <xf numFmtId="164" fontId="10" fillId="0" borderId="18" xfId="0" applyNumberFormat="1" applyFont="1" applyBorder="1" applyAlignment="1">
      <alignment horizontal="center"/>
    </xf>
    <xf numFmtId="164" fontId="10" fillId="0" borderId="22" xfId="0" applyNumberFormat="1" applyFont="1" applyBorder="1" applyAlignment="1">
      <alignment horizontal="center"/>
    </xf>
    <xf numFmtId="2" fontId="10" fillId="0" borderId="13" xfId="0" applyNumberFormat="1" applyFont="1" applyBorder="1" applyAlignment="1">
      <alignment horizontal="center"/>
    </xf>
    <xf numFmtId="2" fontId="10" fillId="0" borderId="60" xfId="0" applyNumberFormat="1" applyFont="1" applyBorder="1" applyAlignment="1">
      <alignment horizontal="center"/>
    </xf>
    <xf numFmtId="2" fontId="10" fillId="0" borderId="32" xfId="0" applyNumberFormat="1" applyFont="1" applyBorder="1" applyAlignment="1">
      <alignment horizontal="center"/>
    </xf>
    <xf numFmtId="2" fontId="10" fillId="0" borderId="61" xfId="0" applyNumberFormat="1" applyFont="1" applyBorder="1" applyAlignment="1">
      <alignment horizontal="center"/>
    </xf>
    <xf numFmtId="2" fontId="10" fillId="0" borderId="62" xfId="0" applyNumberFormat="1" applyFont="1" applyBorder="1" applyAlignment="1">
      <alignment horizontal="center"/>
    </xf>
    <xf numFmtId="2" fontId="11" fillId="0" borderId="49" xfId="0" applyNumberFormat="1" applyFont="1" applyBorder="1" applyAlignment="1">
      <alignment horizontal="center"/>
    </xf>
    <xf numFmtId="2" fontId="11" fillId="0" borderId="58" xfId="0" applyNumberFormat="1" applyFont="1" applyBorder="1" applyAlignment="1">
      <alignment horizontal="center"/>
    </xf>
    <xf numFmtId="2" fontId="11" fillId="0" borderId="50" xfId="0" applyNumberFormat="1" applyFont="1" applyBorder="1" applyAlignment="1">
      <alignment horizontal="center"/>
    </xf>
    <xf numFmtId="2" fontId="11" fillId="0" borderId="59" xfId="0" applyNumberFormat="1" applyFont="1" applyBorder="1" applyAlignment="1">
      <alignment horizontal="center"/>
    </xf>
    <xf numFmtId="2" fontId="11" fillId="0" borderId="44" xfId="0" applyNumberFormat="1" applyFont="1" applyBorder="1" applyAlignment="1">
      <alignment horizontal="center"/>
    </xf>
    <xf numFmtId="0" fontId="15" fillId="2" borderId="15" xfId="0" applyFont="1" applyFill="1" applyBorder="1" applyAlignment="1" applyProtection="1">
      <alignment horizontal="center" vertical="center" wrapText="1"/>
      <protection locked="0"/>
    </xf>
    <xf numFmtId="0" fontId="15" fillId="2" borderId="48" xfId="0" applyFont="1" applyFill="1" applyBorder="1" applyAlignment="1" applyProtection="1">
      <alignment horizontal="center" vertical="center" wrapText="1"/>
      <protection locked="0"/>
    </xf>
    <xf numFmtId="0" fontId="15" fillId="2" borderId="55" xfId="0" applyFont="1" applyFill="1" applyBorder="1" applyAlignment="1" applyProtection="1">
      <alignment horizontal="center" vertical="center" wrapText="1"/>
      <protection locked="0"/>
    </xf>
    <xf numFmtId="0" fontId="15" fillId="2" borderId="50" xfId="0" applyFont="1" applyFill="1" applyBorder="1" applyAlignment="1" applyProtection="1">
      <alignment horizontal="center" vertical="center" wrapText="1"/>
      <protection locked="0"/>
    </xf>
    <xf numFmtId="0" fontId="10" fillId="34" borderId="63" xfId="0" applyFont="1" applyFill="1" applyBorder="1" applyAlignment="1" applyProtection="1">
      <alignment horizontal="center" vertical="center"/>
      <protection locked="0"/>
    </xf>
    <xf numFmtId="0" fontId="10" fillId="34" borderId="39" xfId="0" applyFont="1" applyFill="1" applyBorder="1" applyAlignment="1" applyProtection="1">
      <alignment horizontal="center" vertical="center"/>
      <protection locked="0"/>
    </xf>
    <xf numFmtId="0" fontId="10" fillId="34" borderId="23" xfId="0" applyFont="1" applyFill="1" applyBorder="1" applyAlignment="1" applyProtection="1">
      <alignment horizontal="center" vertical="center"/>
      <protection locked="0"/>
    </xf>
    <xf numFmtId="0" fontId="10" fillId="34" borderId="16" xfId="0" applyFont="1" applyFill="1" applyBorder="1" applyAlignment="1" applyProtection="1">
      <alignment horizontal="center"/>
      <protection locked="0"/>
    </xf>
    <xf numFmtId="0" fontId="10" fillId="34" borderId="7" xfId="0" applyFont="1" applyFill="1" applyBorder="1" applyAlignment="1" applyProtection="1">
      <alignment horizontal="center"/>
      <protection locked="0"/>
    </xf>
    <xf numFmtId="0" fontId="10" fillId="34" borderId="8" xfId="0" applyFont="1" applyFill="1" applyBorder="1" applyAlignment="1" applyProtection="1">
      <alignment horizontal="center"/>
      <protection locked="0"/>
    </xf>
    <xf numFmtId="0" fontId="15" fillId="2" borderId="64" xfId="0" applyFont="1" applyFill="1" applyBorder="1" applyAlignment="1" applyProtection="1">
      <alignment horizontal="center" vertical="center" wrapText="1"/>
      <protection locked="0"/>
    </xf>
    <xf numFmtId="0" fontId="10" fillId="34" borderId="29" xfId="0" applyFont="1" applyFill="1" applyBorder="1" applyAlignment="1" applyProtection="1">
      <alignment horizontal="center"/>
      <protection locked="0"/>
    </xf>
    <xf numFmtId="169" fontId="10" fillId="0" borderId="20" xfId="54" applyNumberFormat="1" applyFont="1" applyBorder="1" applyAlignment="1">
      <alignment horizontal="center" vertical="center" wrapText="1"/>
    </xf>
    <xf numFmtId="0" fontId="10" fillId="0" borderId="58" xfId="0" applyFont="1" applyBorder="1" applyAlignment="1">
      <alignment horizontal="center"/>
    </xf>
    <xf numFmtId="0" fontId="15" fillId="2" borderId="59" xfId="0" applyFont="1" applyFill="1" applyBorder="1" applyAlignment="1" applyProtection="1">
      <alignment horizontal="center" vertical="center" wrapText="1"/>
      <protection locked="0"/>
    </xf>
    <xf numFmtId="0" fontId="10" fillId="0" borderId="13" xfId="0" applyFont="1" applyBorder="1" applyAlignment="1">
      <alignment horizontal="center"/>
    </xf>
    <xf numFmtId="0" fontId="10" fillId="0" borderId="32" xfId="0" applyFont="1" applyBorder="1" applyAlignment="1">
      <alignment horizontal="center"/>
    </xf>
    <xf numFmtId="0" fontId="10" fillId="2" borderId="7" xfId="0" applyFont="1" applyFill="1" applyBorder="1" applyAlignment="1" applyProtection="1">
      <alignment horizontal="center" vertical="center" wrapText="1"/>
      <protection locked="0"/>
    </xf>
    <xf numFmtId="0" fontId="10" fillId="0" borderId="62" xfId="0" applyFont="1" applyBorder="1" applyAlignment="1">
      <alignment horizontal="center"/>
    </xf>
    <xf numFmtId="0" fontId="15" fillId="0" borderId="43" xfId="0" applyFont="1" applyBorder="1" applyAlignment="1">
      <alignment horizontal="center" vertical="center" wrapText="1"/>
    </xf>
    <xf numFmtId="0" fontId="10" fillId="34" borderId="10" xfId="0" applyFont="1" applyFill="1" applyBorder="1" applyAlignment="1" applyProtection="1">
      <alignment horizontal="center"/>
      <protection locked="0"/>
    </xf>
    <xf numFmtId="0" fontId="0" fillId="0" borderId="0" xfId="0" applyProtection="1">
      <protection locked="0"/>
    </xf>
    <xf numFmtId="0" fontId="10" fillId="0" borderId="0" xfId="0" applyFont="1" applyAlignment="1" applyProtection="1">
      <alignment horizontal="right"/>
      <protection locked="0"/>
    </xf>
    <xf numFmtId="0" fontId="0" fillId="0" borderId="0" xfId="0" applyAlignment="1" applyProtection="1">
      <alignment horizontal="center" vertical="center" wrapText="1"/>
      <protection locked="0"/>
    </xf>
    <xf numFmtId="166" fontId="10" fillId="0" borderId="16" xfId="0" applyNumberFormat="1" applyFont="1" applyBorder="1" applyAlignment="1">
      <alignment horizontal="center"/>
    </xf>
    <xf numFmtId="0" fontId="10" fillId="0" borderId="0" xfId="0" applyFont="1" applyProtection="1">
      <protection locked="0"/>
    </xf>
    <xf numFmtId="0" fontId="8" fillId="0" borderId="0" xfId="0" applyFont="1" applyAlignment="1" applyProtection="1">
      <alignment horizontal="center" vertical="top" wrapText="1"/>
      <protection locked="0"/>
    </xf>
    <xf numFmtId="0" fontId="10" fillId="0" borderId="23" xfId="0" applyFont="1" applyBorder="1" applyAlignment="1">
      <alignment horizontal="left" wrapText="1"/>
    </xf>
    <xf numFmtId="0" fontId="10" fillId="0" borderId="54" xfId="0" applyFont="1" applyBorder="1" applyAlignment="1">
      <alignment horizontal="left" wrapText="1"/>
    </xf>
    <xf numFmtId="0" fontId="10" fillId="0" borderId="26" xfId="0" applyFont="1" applyBorder="1" applyAlignment="1">
      <alignment horizontal="left" wrapText="1"/>
    </xf>
    <xf numFmtId="2" fontId="10" fillId="0" borderId="7" xfId="0" applyNumberFormat="1" applyFont="1" applyBorder="1" applyAlignment="1">
      <alignment horizontal="center"/>
    </xf>
    <xf numFmtId="1" fontId="10" fillId="0" borderId="0" xfId="0" applyNumberFormat="1" applyFont="1" applyAlignment="1">
      <alignment horizontal="center"/>
    </xf>
    <xf numFmtId="0" fontId="10" fillId="34" borderId="10" xfId="50" applyFont="1" applyFill="1" applyBorder="1" applyAlignment="1" applyProtection="1">
      <alignment horizontal="center" vertical="center" wrapText="1"/>
      <protection locked="0"/>
    </xf>
    <xf numFmtId="2" fontId="10" fillId="0" borderId="52" xfId="0" applyNumberFormat="1" applyFont="1" applyBorder="1" applyAlignment="1">
      <alignment horizontal="center"/>
    </xf>
    <xf numFmtId="0" fontId="19" fillId="0" borderId="0" xfId="0" applyFont="1" applyAlignment="1">
      <alignment horizontal="left"/>
    </xf>
    <xf numFmtId="0" fontId="15" fillId="2" borderId="16" xfId="0" applyFont="1" applyFill="1" applyBorder="1" applyAlignment="1" applyProtection="1">
      <alignment horizontal="center" vertical="center" wrapText="1"/>
      <protection locked="0"/>
    </xf>
    <xf numFmtId="0" fontId="10" fillId="0" borderId="24" xfId="0" applyFont="1" applyBorder="1" applyAlignment="1">
      <alignment horizontal="left" vertical="center" wrapText="1"/>
    </xf>
    <xf numFmtId="0" fontId="15" fillId="2" borderId="8" xfId="0" applyFont="1" applyFill="1" applyBorder="1" applyAlignment="1" applyProtection="1">
      <alignment horizontal="center" vertical="center" wrapText="1"/>
      <protection locked="0"/>
    </xf>
    <xf numFmtId="0" fontId="10" fillId="2" borderId="29"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10" fillId="2" borderId="50" xfId="0" applyFont="1" applyFill="1" applyBorder="1" applyAlignment="1" applyProtection="1">
      <alignment horizontal="center" vertical="center" wrapText="1"/>
      <protection locked="0"/>
    </xf>
    <xf numFmtId="166" fontId="10" fillId="2" borderId="10" xfId="0" applyNumberFormat="1" applyFont="1" applyFill="1" applyBorder="1" applyAlignment="1" applyProtection="1">
      <alignment horizontal="center" vertical="center"/>
      <protection locked="0"/>
    </xf>
    <xf numFmtId="166" fontId="10" fillId="2" borderId="17" xfId="0" applyNumberFormat="1" applyFont="1" applyFill="1" applyBorder="1" applyAlignment="1" applyProtection="1">
      <alignment horizontal="center" vertical="center"/>
      <protection locked="0"/>
    </xf>
    <xf numFmtId="0" fontId="10" fillId="0" borderId="10" xfId="0" applyFont="1" applyBorder="1" applyAlignment="1" applyProtection="1">
      <alignment horizontal="center" vertical="center"/>
      <protection hidden="1"/>
    </xf>
    <xf numFmtId="0" fontId="10" fillId="0" borderId="17" xfId="0" applyFont="1" applyBorder="1" applyAlignment="1" applyProtection="1">
      <alignment horizontal="center" vertical="center"/>
      <protection hidden="1"/>
    </xf>
    <xf numFmtId="0" fontId="10" fillId="0" borderId="18"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0" fillId="0" borderId="22" xfId="0" applyFont="1" applyBorder="1" applyAlignment="1" applyProtection="1">
      <alignment horizontal="center" vertical="center"/>
      <protection hidden="1"/>
    </xf>
    <xf numFmtId="0" fontId="10" fillId="2" borderId="46" xfId="0" applyFont="1" applyFill="1" applyBorder="1" applyAlignment="1" applyProtection="1">
      <alignment horizontal="center" vertical="center" wrapText="1"/>
      <protection locked="0"/>
    </xf>
    <xf numFmtId="0" fontId="10" fillId="2" borderId="65" xfId="0" applyFont="1" applyFill="1" applyBorder="1" applyAlignment="1" applyProtection="1">
      <alignment horizontal="center" vertical="center" wrapText="1"/>
      <protection locked="0"/>
    </xf>
    <xf numFmtId="0" fontId="10" fillId="0" borderId="16" xfId="0" applyFont="1" applyBorder="1" applyAlignment="1">
      <alignment horizontal="center" vertical="center" wrapText="1"/>
    </xf>
    <xf numFmtId="0" fontId="10" fillId="0" borderId="8" xfId="0" applyFont="1" applyBorder="1" applyAlignment="1">
      <alignment horizontal="center" vertical="center" wrapText="1"/>
    </xf>
    <xf numFmtId="2" fontId="10" fillId="0" borderId="17" xfId="0" applyNumberFormat="1" applyFont="1" applyBorder="1" applyAlignment="1" applyProtection="1">
      <alignment horizontal="center" vertical="center" wrapText="1"/>
      <protection hidden="1"/>
    </xf>
    <xf numFmtId="0" fontId="10" fillId="34" borderId="4" xfId="0" applyFont="1" applyFill="1" applyBorder="1" applyAlignment="1" applyProtection="1">
      <alignment horizontal="center"/>
      <protection locked="0"/>
    </xf>
    <xf numFmtId="166" fontId="10" fillId="0" borderId="29" xfId="0" applyNumberFormat="1" applyFont="1" applyBorder="1" applyAlignment="1">
      <alignment horizontal="center"/>
    </xf>
    <xf numFmtId="0" fontId="10" fillId="34" borderId="17" xfId="50" applyFont="1" applyFill="1" applyBorder="1" applyAlignment="1" applyProtection="1">
      <alignment horizontal="center" vertical="center" wrapText="1"/>
      <protection locked="0"/>
    </xf>
    <xf numFmtId="169" fontId="10" fillId="0" borderId="56" xfId="54" applyNumberFormat="1" applyFont="1" applyBorder="1" applyAlignment="1">
      <alignment horizontal="center" vertical="center" wrapText="1"/>
    </xf>
    <xf numFmtId="169" fontId="10" fillId="0" borderId="57" xfId="54" applyNumberFormat="1" applyFont="1" applyBorder="1" applyAlignment="1">
      <alignment horizontal="center" vertical="center" wrapText="1"/>
    </xf>
    <xf numFmtId="1" fontId="10" fillId="2" borderId="16" xfId="0" applyNumberFormat="1" applyFont="1" applyFill="1" applyBorder="1" applyAlignment="1" applyProtection="1">
      <alignment horizontal="center"/>
      <protection locked="0"/>
    </xf>
    <xf numFmtId="1" fontId="10" fillId="2" borderId="8" xfId="0" applyNumberFormat="1" applyFont="1" applyFill="1" applyBorder="1" applyAlignment="1" applyProtection="1">
      <alignment horizontal="center"/>
      <protection locked="0"/>
    </xf>
    <xf numFmtId="0" fontId="10" fillId="2" borderId="18" xfId="0" applyFont="1" applyFill="1" applyBorder="1" applyAlignment="1" applyProtection="1">
      <alignment horizontal="center"/>
      <protection locked="0"/>
    </xf>
    <xf numFmtId="0" fontId="10" fillId="2" borderId="14" xfId="0" applyFont="1" applyFill="1" applyBorder="1" applyAlignment="1" applyProtection="1">
      <alignment horizontal="center"/>
      <protection locked="0"/>
    </xf>
    <xf numFmtId="1" fontId="10" fillId="0" borderId="18" xfId="0" applyNumberFormat="1" applyFont="1" applyBorder="1" applyAlignment="1">
      <alignment horizontal="center" vertical="center" wrapText="1"/>
    </xf>
    <xf numFmtId="166" fontId="10" fillId="2" borderId="8" xfId="0" applyNumberFormat="1" applyFont="1" applyFill="1" applyBorder="1" applyAlignment="1" applyProtection="1">
      <alignment horizontal="center"/>
      <protection locked="0"/>
    </xf>
    <xf numFmtId="2" fontId="10" fillId="0" borderId="18" xfId="0" applyNumberFormat="1" applyFont="1" applyBorder="1" applyAlignment="1">
      <alignment horizontal="center"/>
    </xf>
    <xf numFmtId="2" fontId="10" fillId="2" borderId="16" xfId="0" applyNumberFormat="1" applyFont="1" applyFill="1" applyBorder="1" applyAlignment="1" applyProtection="1">
      <alignment horizontal="center"/>
      <protection locked="0"/>
    </xf>
    <xf numFmtId="2" fontId="10" fillId="2" borderId="8" xfId="0" applyNumberFormat="1" applyFont="1" applyFill="1" applyBorder="1" applyAlignment="1" applyProtection="1">
      <alignment horizontal="center"/>
      <protection locked="0"/>
    </xf>
    <xf numFmtId="166" fontId="10" fillId="2" borderId="4" xfId="0" applyNumberFormat="1" applyFont="1" applyFill="1" applyBorder="1" applyAlignment="1" applyProtection="1">
      <alignment horizontal="center"/>
      <protection locked="0"/>
    </xf>
    <xf numFmtId="2" fontId="10" fillId="0" borderId="27" xfId="0" applyNumberFormat="1" applyFont="1" applyBorder="1" applyAlignment="1">
      <alignment horizontal="center"/>
    </xf>
    <xf numFmtId="0" fontId="10" fillId="2" borderId="65" xfId="50" applyFont="1" applyFill="1" applyBorder="1" applyAlignment="1" applyProtection="1">
      <alignment horizontal="center" vertical="center" wrapText="1"/>
      <protection locked="0"/>
    </xf>
    <xf numFmtId="0" fontId="10" fillId="0" borderId="56" xfId="0" applyFont="1" applyBorder="1" applyAlignment="1">
      <alignment horizontal="center"/>
    </xf>
    <xf numFmtId="0" fontId="10" fillId="2" borderId="8" xfId="50" applyFont="1" applyFill="1" applyBorder="1" applyAlignment="1" applyProtection="1">
      <alignment horizontal="center" vertical="center" wrapText="1"/>
      <protection locked="0"/>
    </xf>
    <xf numFmtId="14" fontId="9" fillId="0" borderId="0" xfId="0" applyNumberFormat="1" applyFont="1"/>
    <xf numFmtId="0" fontId="44" fillId="0" borderId="0" xfId="0" applyFont="1" applyAlignment="1">
      <alignment horizontal="center"/>
    </xf>
    <xf numFmtId="0" fontId="15" fillId="2" borderId="29" xfId="0" applyFont="1" applyFill="1" applyBorder="1" applyAlignment="1" applyProtection="1">
      <alignment horizontal="center" vertical="center" wrapText="1"/>
      <protection locked="0"/>
    </xf>
    <xf numFmtId="0" fontId="10" fillId="0" borderId="18" xfId="0" applyFont="1" applyBorder="1" applyAlignment="1">
      <alignment horizontal="center" vertical="top" wrapText="1"/>
    </xf>
    <xf numFmtId="0" fontId="10" fillId="2" borderId="50" xfId="0" applyFont="1" applyFill="1" applyBorder="1" applyAlignment="1" applyProtection="1">
      <alignment horizontal="center" vertical="top" wrapText="1"/>
      <protection locked="0"/>
    </xf>
    <xf numFmtId="0" fontId="10" fillId="2" borderId="55" xfId="0" applyFont="1" applyFill="1" applyBorder="1" applyAlignment="1" applyProtection="1">
      <alignment horizontal="center" vertical="top" wrapText="1"/>
      <protection locked="0"/>
    </xf>
    <xf numFmtId="0" fontId="10" fillId="0" borderId="26" xfId="0" applyFont="1" applyBorder="1" applyAlignment="1">
      <alignment horizontal="left" vertical="center" wrapText="1"/>
    </xf>
    <xf numFmtId="0" fontId="10" fillId="0" borderId="29" xfId="0" applyFont="1" applyBorder="1" applyAlignment="1">
      <alignment horizontal="center" vertical="center" wrapText="1"/>
    </xf>
    <xf numFmtId="0" fontId="10" fillId="0" borderId="25" xfId="0" applyFont="1" applyBorder="1" applyAlignment="1">
      <alignment horizontal="left" vertical="center" wrapText="1"/>
    </xf>
    <xf numFmtId="1" fontId="10" fillId="0" borderId="22" xfId="0" applyNumberFormat="1" applyFont="1" applyBorder="1" applyAlignment="1">
      <alignment horizontal="center" vertical="center" wrapText="1"/>
    </xf>
    <xf numFmtId="166" fontId="11" fillId="0" borderId="22" xfId="0" applyNumberFormat="1" applyFont="1" applyBorder="1" applyAlignment="1">
      <alignment horizontal="center"/>
    </xf>
    <xf numFmtId="0" fontId="49" fillId="0" borderId="86" xfId="51" applyFont="1" applyBorder="1" applyAlignment="1">
      <alignment horizontal="right"/>
    </xf>
    <xf numFmtId="0" fontId="48" fillId="0" borderId="85" xfId="51" applyFont="1" applyBorder="1" applyAlignment="1">
      <alignment horizontal="center"/>
    </xf>
    <xf numFmtId="0" fontId="45" fillId="0" borderId="39" xfId="0" applyFont="1" applyBorder="1" applyAlignment="1">
      <alignment horizontal="center"/>
    </xf>
    <xf numFmtId="0" fontId="45" fillId="0" borderId="5" xfId="0" applyFont="1" applyBorder="1" applyAlignment="1">
      <alignment horizontal="center"/>
    </xf>
    <xf numFmtId="0" fontId="45" fillId="0" borderId="52" xfId="0" applyFont="1" applyBorder="1" applyAlignment="1">
      <alignment horizontal="center"/>
    </xf>
    <xf numFmtId="0" fontId="45" fillId="0" borderId="63" xfId="0" applyFont="1" applyBorder="1" applyAlignment="1">
      <alignment horizontal="center"/>
    </xf>
    <xf numFmtId="0" fontId="45" fillId="0" borderId="30" xfId="0" applyFont="1" applyBorder="1" applyAlignment="1">
      <alignment horizontal="center"/>
    </xf>
    <xf numFmtId="0" fontId="45" fillId="0" borderId="0" xfId="0" applyFont="1" applyAlignment="1" applyProtection="1">
      <alignment horizontal="center"/>
      <protection hidden="1"/>
    </xf>
    <xf numFmtId="166" fontId="45" fillId="0" borderId="0" xfId="0" applyNumberFormat="1" applyFont="1" applyProtection="1">
      <protection hidden="1"/>
    </xf>
    <xf numFmtId="166" fontId="45" fillId="0" borderId="0" xfId="0" applyNumberFormat="1" applyFont="1"/>
    <xf numFmtId="0" fontId="0" fillId="0" borderId="0" xfId="0" applyAlignment="1">
      <alignment horizontal="center" vertical="center"/>
    </xf>
    <xf numFmtId="0" fontId="45" fillId="0" borderId="0" xfId="0" applyFont="1" applyAlignment="1">
      <alignment horizontal="center" vertical="center"/>
    </xf>
    <xf numFmtId="164" fontId="10" fillId="0" borderId="4" xfId="0" applyNumberFormat="1" applyFont="1" applyBorder="1" applyAlignment="1">
      <alignment horizontal="center"/>
    </xf>
    <xf numFmtId="165" fontId="10" fillId="0" borderId="7" xfId="0" applyNumberFormat="1"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9" xfId="0" applyFont="1" applyBorder="1" applyAlignment="1">
      <alignment horizontal="center" vertical="center" wrapText="1"/>
    </xf>
    <xf numFmtId="2" fontId="10" fillId="2" borderId="10" xfId="0" applyNumberFormat="1" applyFont="1" applyFill="1" applyBorder="1" applyAlignment="1" applyProtection="1">
      <alignment horizontal="center"/>
      <protection locked="0"/>
    </xf>
    <xf numFmtId="2" fontId="10" fillId="2" borderId="4" xfId="0" applyNumberFormat="1" applyFont="1" applyFill="1" applyBorder="1" applyAlignment="1" applyProtection="1">
      <alignment horizontal="center"/>
      <protection locked="0"/>
    </xf>
    <xf numFmtId="168" fontId="10" fillId="0" borderId="66" xfId="0" applyNumberFormat="1" applyFont="1" applyBorder="1" applyAlignment="1">
      <alignment horizontal="center"/>
    </xf>
    <xf numFmtId="168" fontId="10" fillId="0" borderId="67" xfId="0" applyNumberFormat="1" applyFont="1" applyBorder="1" applyAlignment="1">
      <alignment horizontal="center"/>
    </xf>
    <xf numFmtId="2" fontId="10" fillId="0" borderId="22" xfId="0" applyNumberFormat="1" applyFont="1" applyBorder="1" applyAlignment="1">
      <alignment horizontal="center"/>
    </xf>
    <xf numFmtId="1" fontId="10" fillId="0" borderId="16" xfId="0" applyNumberFormat="1" applyFont="1" applyBorder="1" applyAlignment="1">
      <alignment horizontal="center" vertical="center" wrapText="1"/>
    </xf>
    <xf numFmtId="1" fontId="10" fillId="0" borderId="29" xfId="0" applyNumberFormat="1" applyFont="1" applyBorder="1" applyAlignment="1">
      <alignment horizontal="center" vertical="center" wrapText="1"/>
    </xf>
    <xf numFmtId="1" fontId="10" fillId="0" borderId="27" xfId="0" applyNumberFormat="1" applyFont="1" applyBorder="1" applyAlignment="1">
      <alignment horizontal="center" vertical="center" wrapText="1"/>
    </xf>
    <xf numFmtId="1" fontId="10" fillId="0" borderId="28" xfId="0" applyNumberFormat="1" applyFont="1" applyBorder="1" applyAlignment="1">
      <alignment horizontal="center" vertical="center" wrapText="1"/>
    </xf>
    <xf numFmtId="1" fontId="10" fillId="0" borderId="10" xfId="0" applyNumberFormat="1" applyFont="1" applyBorder="1" applyAlignment="1">
      <alignment horizontal="center" vertical="center" wrapText="1"/>
    </xf>
    <xf numFmtId="1" fontId="10" fillId="0" borderId="17" xfId="0" applyNumberFormat="1" applyFont="1" applyBorder="1" applyAlignment="1">
      <alignment horizontal="center" vertical="center" wrapText="1"/>
    </xf>
    <xf numFmtId="2" fontId="10" fillId="2" borderId="29" xfId="0" applyNumberFormat="1" applyFont="1" applyFill="1" applyBorder="1" applyAlignment="1" applyProtection="1">
      <alignment horizontal="center"/>
      <protection locked="0"/>
    </xf>
    <xf numFmtId="2" fontId="10" fillId="2" borderId="17" xfId="0" applyNumberFormat="1" applyFont="1" applyFill="1" applyBorder="1" applyAlignment="1" applyProtection="1">
      <alignment horizontal="center"/>
      <protection locked="0"/>
    </xf>
    <xf numFmtId="2" fontId="10" fillId="0" borderId="28" xfId="0" applyNumberFormat="1" applyFont="1" applyBorder="1" applyAlignment="1">
      <alignment horizontal="center"/>
    </xf>
    <xf numFmtId="168" fontId="10" fillId="0" borderId="68" xfId="0" applyNumberFormat="1" applyFont="1" applyBorder="1" applyAlignment="1">
      <alignment horizontal="center"/>
    </xf>
    <xf numFmtId="168" fontId="10" fillId="0" borderId="10" xfId="0" applyNumberFormat="1" applyFont="1" applyBorder="1" applyAlignment="1">
      <alignment horizontal="center"/>
    </xf>
    <xf numFmtId="168" fontId="10" fillId="0" borderId="4" xfId="0" applyNumberFormat="1" applyFont="1" applyBorder="1" applyAlignment="1">
      <alignment horizontal="center"/>
    </xf>
    <xf numFmtId="168" fontId="10" fillId="0" borderId="17" xfId="0" applyNumberFormat="1" applyFont="1" applyBorder="1" applyAlignment="1">
      <alignment horizontal="center"/>
    </xf>
    <xf numFmtId="166" fontId="10" fillId="0" borderId="0" xfId="0" applyNumberFormat="1" applyFont="1" applyAlignment="1">
      <alignment horizontal="center"/>
    </xf>
    <xf numFmtId="166" fontId="10" fillId="0" borderId="10" xfId="0" applyNumberFormat="1" applyFont="1" applyBorder="1" applyAlignment="1">
      <alignment horizontal="center" vertical="center"/>
    </xf>
    <xf numFmtId="166" fontId="10" fillId="0" borderId="4" xfId="0" applyNumberFormat="1" applyFont="1" applyBorder="1" applyAlignment="1">
      <alignment horizontal="center" vertical="center"/>
    </xf>
    <xf numFmtId="166" fontId="10" fillId="0" borderId="17" xfId="0" applyNumberFormat="1" applyFont="1" applyBorder="1" applyAlignment="1">
      <alignment horizontal="center" vertical="center"/>
    </xf>
    <xf numFmtId="164" fontId="10" fillId="0" borderId="18" xfId="0" applyNumberFormat="1" applyFont="1" applyBorder="1" applyAlignment="1">
      <alignment horizontal="center" vertical="center"/>
    </xf>
    <xf numFmtId="164" fontId="10" fillId="0" borderId="14" xfId="0" applyNumberFormat="1" applyFont="1" applyBorder="1" applyAlignment="1">
      <alignment horizontal="center" vertical="center"/>
    </xf>
    <xf numFmtId="164" fontId="10" fillId="0" borderId="22" xfId="0" applyNumberFormat="1" applyFont="1" applyBorder="1" applyAlignment="1">
      <alignment horizontal="center" vertical="center"/>
    </xf>
    <xf numFmtId="0" fontId="49" fillId="0" borderId="86" xfId="51" applyFont="1" applyBorder="1" applyAlignment="1">
      <alignment horizontal="right" wrapText="1"/>
    </xf>
    <xf numFmtId="0" fontId="43" fillId="0" borderId="84" xfId="0" applyFont="1" applyBorder="1"/>
    <xf numFmtId="0" fontId="43" fillId="0" borderId="0" xfId="0" applyFont="1" applyAlignment="1">
      <alignment horizontal="center"/>
    </xf>
    <xf numFmtId="0" fontId="43" fillId="0" borderId="86" xfId="0" applyFont="1" applyBorder="1" applyAlignment="1">
      <alignment horizontal="center"/>
    </xf>
    <xf numFmtId="0" fontId="43" fillId="0" borderId="0" xfId="0" applyFont="1" applyAlignment="1">
      <alignment wrapText="1"/>
    </xf>
    <xf numFmtId="0" fontId="43" fillId="0" borderId="82" xfId="0" applyFont="1" applyBorder="1" applyAlignment="1">
      <alignment wrapText="1"/>
    </xf>
    <xf numFmtId="0" fontId="43" fillId="0" borderId="88" xfId="0" applyFont="1" applyBorder="1" applyAlignment="1">
      <alignment wrapText="1"/>
    </xf>
    <xf numFmtId="2" fontId="43" fillId="0" borderId="85" xfId="0" applyNumberFormat="1" applyFont="1" applyBorder="1" applyAlignment="1">
      <alignment horizontal="center"/>
    </xf>
    <xf numFmtId="2" fontId="43" fillId="0" borderId="0" xfId="0" applyNumberFormat="1" applyFont="1" applyAlignment="1">
      <alignment horizontal="center"/>
    </xf>
    <xf numFmtId="0" fontId="43" fillId="0" borderId="83" xfId="0" applyFont="1" applyBorder="1" applyAlignment="1">
      <alignment horizontal="center"/>
    </xf>
    <xf numFmtId="0" fontId="43" fillId="0" borderId="87" xfId="0" applyFont="1" applyBorder="1"/>
    <xf numFmtId="2" fontId="0" fillId="0" borderId="0" xfId="0" applyNumberFormat="1" applyAlignment="1">
      <alignment horizontal="center"/>
    </xf>
    <xf numFmtId="2" fontId="10" fillId="0" borderId="2" xfId="0" applyNumberFormat="1" applyFont="1" applyBorder="1" applyAlignment="1">
      <alignment horizontal="center"/>
    </xf>
    <xf numFmtId="0" fontId="10" fillId="2" borderId="45" xfId="50" applyFont="1" applyFill="1" applyBorder="1" applyAlignment="1" applyProtection="1">
      <alignment horizontal="center" vertical="center" wrapText="1"/>
      <protection locked="0"/>
    </xf>
    <xf numFmtId="0" fontId="10" fillId="2" borderId="71" xfId="5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0" fillId="0" borderId="0" xfId="0" applyAlignment="1">
      <alignment horizontal="center" wrapText="1"/>
    </xf>
    <xf numFmtId="0" fontId="17" fillId="0" borderId="0" xfId="46" applyAlignment="1" applyProtection="1">
      <alignment horizontal="center"/>
    </xf>
    <xf numFmtId="0" fontId="9" fillId="0" borderId="0" xfId="0" applyFont="1" applyAlignment="1">
      <alignment horizontal="center" wrapText="1"/>
    </xf>
    <xf numFmtId="0" fontId="0" fillId="0" borderId="0" xfId="0" applyAlignment="1">
      <alignment horizontal="center"/>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wrapText="1"/>
    </xf>
    <xf numFmtId="0" fontId="4" fillId="0" borderId="0" xfId="0" applyFont="1" applyAlignment="1" applyProtection="1">
      <alignment vertical="top" wrapText="1"/>
      <protection locked="0"/>
    </xf>
    <xf numFmtId="0" fontId="4" fillId="0" borderId="0" xfId="0" applyFont="1" applyAlignment="1" applyProtection="1">
      <alignment wrapText="1"/>
      <protection locked="0"/>
    </xf>
    <xf numFmtId="0" fontId="0" fillId="0" borderId="0" xfId="0" applyAlignment="1" applyProtection="1">
      <alignment wrapText="1"/>
      <protection locked="0"/>
    </xf>
    <xf numFmtId="0" fontId="4" fillId="0" borderId="0" xfId="0" applyFont="1" applyAlignment="1">
      <alignment horizontal="right" vertical="center" wrapText="1"/>
    </xf>
    <xf numFmtId="0" fontId="4" fillId="0" borderId="63" xfId="0" applyFont="1" applyBorder="1" applyAlignment="1">
      <alignment horizontal="left" vertical="center" wrapText="1"/>
    </xf>
    <xf numFmtId="0" fontId="0" fillId="0" borderId="30" xfId="0" applyBorder="1" applyAlignment="1">
      <alignment vertical="center" wrapText="1"/>
    </xf>
    <xf numFmtId="0" fontId="0" fillId="0" borderId="41" xfId="0" applyBorder="1" applyAlignment="1">
      <alignment vertical="center" wrapText="1"/>
    </xf>
    <xf numFmtId="0" fontId="8" fillId="0" borderId="63" xfId="0" applyFont="1"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0" fontId="10" fillId="0" borderId="36" xfId="0" applyFont="1" applyBorder="1" applyAlignment="1">
      <alignment horizontal="left" vertical="center" wrapText="1"/>
    </xf>
    <xf numFmtId="0" fontId="0" fillId="0" borderId="70" xfId="0" applyBorder="1" applyAlignment="1">
      <alignment horizontal="left" vertical="center" wrapText="1"/>
    </xf>
    <xf numFmtId="0" fontId="10" fillId="0" borderId="3" xfId="0" applyFont="1" applyBorder="1" applyAlignment="1">
      <alignment horizontal="left" vertical="center"/>
    </xf>
    <xf numFmtId="0" fontId="10" fillId="0" borderId="3" xfId="0" applyFont="1" applyBorder="1" applyAlignment="1">
      <alignment horizontal="left" vertical="center" wrapText="1"/>
    </xf>
    <xf numFmtId="0" fontId="10" fillId="0" borderId="69" xfId="0" applyFont="1" applyBorder="1" applyAlignment="1">
      <alignment horizontal="left" vertical="center" wrapText="1"/>
    </xf>
    <xf numFmtId="0" fontId="10" fillId="0" borderId="19" xfId="0" applyFont="1" applyBorder="1" applyAlignment="1">
      <alignment horizontal="left" vertical="center" wrapText="1"/>
    </xf>
    <xf numFmtId="0" fontId="4" fillId="0" borderId="52" xfId="0" applyFont="1" applyBorder="1" applyAlignment="1">
      <alignment horizontal="left"/>
    </xf>
    <xf numFmtId="0" fontId="8" fillId="0" borderId="0" xfId="0" applyFont="1" applyAlignment="1">
      <alignment horizontal="left"/>
    </xf>
    <xf numFmtId="0" fontId="8" fillId="0" borderId="30" xfId="0" applyFont="1" applyBorder="1" applyAlignment="1">
      <alignment horizontal="left" vertical="center" wrapText="1"/>
    </xf>
    <xf numFmtId="0" fontId="8" fillId="0" borderId="41" xfId="0" applyFont="1" applyBorder="1" applyAlignment="1">
      <alignment horizontal="left" vertical="center" wrapText="1"/>
    </xf>
    <xf numFmtId="0" fontId="10" fillId="0" borderId="23" xfId="0" applyFont="1" applyBorder="1" applyAlignment="1">
      <alignment horizontal="left" vertical="top" wrapText="1"/>
    </xf>
    <xf numFmtId="0" fontId="10" fillId="0" borderId="2" xfId="0" applyFont="1" applyBorder="1" applyAlignment="1">
      <alignment horizontal="left" vertical="top" wrapText="1"/>
    </xf>
    <xf numFmtId="0" fontId="10" fillId="0" borderId="42" xfId="0" applyFont="1" applyBorder="1" applyAlignment="1">
      <alignment horizontal="left" vertical="center" wrapText="1"/>
    </xf>
    <xf numFmtId="0" fontId="0" fillId="0" borderId="53" xfId="0" applyBorder="1" applyAlignment="1">
      <alignment horizontal="left" vertical="center" wrapText="1"/>
    </xf>
    <xf numFmtId="0" fontId="3" fillId="0" borderId="52" xfId="0" applyFont="1" applyBorder="1" applyAlignment="1">
      <alignment horizontal="left" vertical="center"/>
    </xf>
    <xf numFmtId="0" fontId="19" fillId="0" borderId="0" xfId="0" applyFont="1" applyAlignment="1">
      <alignment horizontal="left" vertical="center"/>
    </xf>
    <xf numFmtId="0" fontId="10" fillId="0" borderId="45" xfId="0" applyFont="1" applyBorder="1" applyAlignment="1">
      <alignment horizontal="left" vertical="top" wrapText="1"/>
    </xf>
    <xf numFmtId="0" fontId="4" fillId="0" borderId="36" xfId="0" applyFont="1" applyBorder="1" applyAlignment="1">
      <alignment horizontal="center" vertical="center" wrapText="1"/>
    </xf>
    <xf numFmtId="0" fontId="0" fillId="0" borderId="5" xfId="0" applyBorder="1" applyAlignment="1">
      <alignment horizontal="center" vertical="center" wrapText="1"/>
    </xf>
    <xf numFmtId="0" fontId="16" fillId="0" borderId="21" xfId="0" applyFont="1" applyBorder="1" applyAlignment="1">
      <alignment horizontal="center" vertical="center" wrapText="1"/>
    </xf>
    <xf numFmtId="0" fontId="16" fillId="0" borderId="19" xfId="0" applyFont="1" applyBorder="1" applyAlignment="1">
      <alignment horizontal="left" vertical="center" wrapText="1"/>
    </xf>
    <xf numFmtId="0" fontId="0" fillId="0" borderId="0" xfId="0" applyAlignment="1">
      <alignment horizontal="right" vertical="center" wrapText="1"/>
    </xf>
    <xf numFmtId="0" fontId="4" fillId="0" borderId="0" xfId="0" applyFont="1" applyProtection="1">
      <protection locked="0"/>
    </xf>
    <xf numFmtId="0" fontId="4" fillId="0" borderId="12" xfId="0" applyFont="1" applyBorder="1" applyAlignment="1">
      <alignment horizontal="center" vertical="center" wrapText="1"/>
    </xf>
    <xf numFmtId="0" fontId="0" fillId="0" borderId="63" xfId="0" applyBorder="1" applyAlignment="1">
      <alignment horizontal="center" vertical="center" wrapText="1"/>
    </xf>
    <xf numFmtId="0" fontId="0" fillId="0" borderId="70" xfId="0" applyBorder="1" applyAlignment="1">
      <alignment horizontal="center" vertical="center" wrapText="1"/>
    </xf>
    <xf numFmtId="0" fontId="16" fillId="0" borderId="11"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23" xfId="0" applyFont="1" applyBorder="1" applyAlignment="1">
      <alignment horizontal="left" wrapText="1"/>
    </xf>
    <xf numFmtId="0" fontId="10" fillId="0" borderId="25" xfId="0" applyFont="1" applyBorder="1" applyAlignment="1">
      <alignment horizontal="left" wrapText="1"/>
    </xf>
    <xf numFmtId="0" fontId="10" fillId="0" borderId="2" xfId="0" applyFont="1" applyBorder="1" applyAlignment="1">
      <alignment horizontal="left" vertical="center" wrapText="1"/>
    </xf>
    <xf numFmtId="0" fontId="10" fillId="0" borderId="54" xfId="0" applyFont="1" applyBorder="1" applyAlignment="1">
      <alignment horizontal="left" vertical="center" wrapText="1"/>
    </xf>
    <xf numFmtId="0" fontId="10" fillId="0" borderId="26" xfId="0" applyFont="1" applyBorder="1" applyAlignment="1">
      <alignment horizontal="left" vertical="center" wrapText="1"/>
    </xf>
    <xf numFmtId="0" fontId="4" fillId="0" borderId="49" xfId="0" applyFont="1" applyBorder="1" applyAlignment="1">
      <alignment horizontal="left" vertical="center" wrapText="1"/>
    </xf>
    <xf numFmtId="0" fontId="4" fillId="0" borderId="43" xfId="0" applyFont="1" applyBorder="1" applyAlignment="1">
      <alignment horizontal="left" vertical="center" wrapText="1"/>
    </xf>
    <xf numFmtId="0" fontId="10" fillId="0" borderId="47" xfId="0" applyFont="1" applyBorder="1" applyAlignment="1">
      <alignment horizontal="left" wrapText="1"/>
    </xf>
    <xf numFmtId="0" fontId="11" fillId="0" borderId="49" xfId="0" applyFont="1" applyBorder="1" applyAlignment="1">
      <alignment horizontal="left" wrapText="1"/>
    </xf>
    <xf numFmtId="0" fontId="11" fillId="0" borderId="44" xfId="0" applyFont="1" applyBorder="1" applyAlignment="1">
      <alignment horizontal="left" wrapText="1"/>
    </xf>
    <xf numFmtId="0" fontId="10" fillId="0" borderId="45" xfId="0" applyFont="1" applyBorder="1" applyAlignment="1">
      <alignment horizontal="left" wrapText="1"/>
    </xf>
    <xf numFmtId="0" fontId="10" fillId="0" borderId="24" xfId="0" applyFont="1" applyBorder="1" applyAlignment="1">
      <alignment horizontal="left" wrapText="1"/>
    </xf>
    <xf numFmtId="0" fontId="10" fillId="0" borderId="13" xfId="0" applyFont="1" applyBorder="1" applyAlignment="1">
      <alignment horizontal="left" wrapText="1"/>
    </xf>
    <xf numFmtId="0" fontId="10" fillId="0" borderId="62" xfId="0" applyFont="1" applyBorder="1" applyAlignment="1">
      <alignment horizontal="left" wrapText="1"/>
    </xf>
    <xf numFmtId="0" fontId="4" fillId="0" borderId="44" xfId="0" applyFont="1" applyBorder="1" applyAlignment="1">
      <alignment horizontal="left" vertical="center" wrapText="1"/>
    </xf>
    <xf numFmtId="0" fontId="10" fillId="0" borderId="47" xfId="50" applyFont="1" applyBorder="1" applyAlignment="1">
      <alignment horizontal="left" vertical="top" wrapText="1"/>
    </xf>
    <xf numFmtId="0" fontId="10" fillId="0" borderId="25" xfId="50" applyFont="1" applyBorder="1" applyAlignment="1">
      <alignment horizontal="left" vertical="top" wrapText="1"/>
    </xf>
    <xf numFmtId="0" fontId="10" fillId="0" borderId="47" xfId="0" applyFont="1" applyBorder="1" applyAlignment="1">
      <alignment horizontal="left" vertical="center" wrapText="1"/>
    </xf>
    <xf numFmtId="0" fontId="10" fillId="0" borderId="25" xfId="0" applyFont="1" applyBorder="1" applyAlignment="1">
      <alignment horizontal="left" vertical="center" wrapText="1"/>
    </xf>
    <xf numFmtId="0" fontId="10" fillId="0" borderId="48" xfId="0" applyFont="1" applyBorder="1" applyAlignment="1">
      <alignment horizontal="left" wrapText="1"/>
    </xf>
    <xf numFmtId="0" fontId="10" fillId="0" borderId="47" xfId="50" applyFont="1" applyBorder="1" applyAlignment="1">
      <alignment horizontal="left" vertical="center" wrapText="1"/>
    </xf>
    <xf numFmtId="0" fontId="10" fillId="0" borderId="25" xfId="50" applyFont="1" applyBorder="1" applyAlignment="1">
      <alignment horizontal="left" vertical="center" wrapText="1"/>
    </xf>
    <xf numFmtId="0" fontId="10" fillId="0" borderId="37" xfId="0" applyFont="1" applyBorder="1" applyAlignment="1">
      <alignment horizontal="left" wrapText="1"/>
    </xf>
    <xf numFmtId="0" fontId="10" fillId="0" borderId="38" xfId="0" applyFont="1" applyBorder="1" applyAlignment="1">
      <alignment horizontal="left" wrapText="1"/>
    </xf>
    <xf numFmtId="0" fontId="10" fillId="0" borderId="9" xfId="0" applyFont="1" applyBorder="1" applyAlignment="1">
      <alignment horizontal="left" wrapText="1"/>
    </xf>
    <xf numFmtId="0" fontId="10" fillId="0" borderId="23" xfId="0" applyFont="1" applyBorder="1" applyAlignment="1">
      <alignment horizontal="left" vertical="center" wrapText="1"/>
    </xf>
    <xf numFmtId="0" fontId="3" fillId="0" borderId="0" xfId="0" applyFont="1" applyAlignment="1">
      <alignment horizontal="left"/>
    </xf>
    <xf numFmtId="0" fontId="19" fillId="0" borderId="0" xfId="0" applyFont="1" applyAlignment="1">
      <alignment horizontal="left"/>
    </xf>
    <xf numFmtId="0" fontId="10" fillId="0" borderId="39" xfId="0" applyFont="1" applyBorder="1" applyAlignment="1">
      <alignment wrapText="1"/>
    </xf>
    <xf numFmtId="0" fontId="10" fillId="0" borderId="5" xfId="0" applyFont="1" applyBorder="1" applyAlignment="1">
      <alignment wrapText="1"/>
    </xf>
    <xf numFmtId="0" fontId="10" fillId="0" borderId="23" xfId="0" applyFont="1" applyBorder="1"/>
    <xf numFmtId="0" fontId="10" fillId="0" borderId="47" xfId="0" applyFont="1" applyBorder="1"/>
    <xf numFmtId="0" fontId="4" fillId="0" borderId="4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10" fillId="0" borderId="47" xfId="0" applyFont="1" applyBorder="1" applyAlignment="1">
      <alignment horizontal="left"/>
    </xf>
    <xf numFmtId="0" fontId="10" fillId="0" borderId="25" xfId="0" applyFont="1" applyBorder="1" applyAlignment="1">
      <alignment horizontal="left"/>
    </xf>
    <xf numFmtId="0" fontId="4" fillId="0" borderId="41" xfId="0" applyFont="1" applyBorder="1" applyAlignment="1">
      <alignment horizontal="left" vertical="center" wrapText="1"/>
    </xf>
    <xf numFmtId="0" fontId="10" fillId="0" borderId="5" xfId="0" applyFont="1" applyBorder="1" applyAlignment="1">
      <alignment horizontal="left" wrapText="1"/>
    </xf>
    <xf numFmtId="0" fontId="10" fillId="0" borderId="42" xfId="0" applyFont="1" applyBorder="1" applyAlignment="1">
      <alignment horizontal="left" wrapText="1"/>
    </xf>
    <xf numFmtId="0" fontId="4" fillId="0" borderId="3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2" xfId="0" applyFont="1" applyBorder="1" applyAlignment="1">
      <alignment horizontal="center"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23" xfId="0" applyFont="1" applyBorder="1" applyAlignment="1">
      <alignment wrapText="1"/>
    </xf>
    <xf numFmtId="0" fontId="10" fillId="0" borderId="47" xfId="0" applyFont="1" applyBorder="1" applyAlignment="1">
      <alignment wrapText="1"/>
    </xf>
    <xf numFmtId="0" fontId="10" fillId="0" borderId="30" xfId="0" applyFont="1" applyBorder="1" applyAlignment="1">
      <alignment horizontal="left" wrapText="1"/>
    </xf>
    <xf numFmtId="0" fontId="10" fillId="0" borderId="41" xfId="0" applyFont="1" applyBorder="1" applyAlignment="1">
      <alignment horizontal="left" wrapText="1"/>
    </xf>
    <xf numFmtId="0" fontId="10" fillId="0" borderId="63" xfId="0" applyFont="1" applyBorder="1" applyAlignment="1">
      <alignment wrapText="1"/>
    </xf>
    <xf numFmtId="0" fontId="10" fillId="0" borderId="30" xfId="0" applyFont="1" applyBorder="1" applyAlignment="1">
      <alignment wrapText="1"/>
    </xf>
    <xf numFmtId="0" fontId="10" fillId="0" borderId="25" xfId="0" applyFont="1" applyBorder="1" applyAlignment="1">
      <alignment wrapText="1"/>
    </xf>
    <xf numFmtId="0" fontId="10" fillId="0" borderId="13" xfId="0" applyFont="1" applyBorder="1" applyAlignment="1">
      <alignment horizontal="left" vertical="center" wrapText="1"/>
    </xf>
    <xf numFmtId="0" fontId="10" fillId="0" borderId="40" xfId="0" applyFont="1" applyBorder="1" applyAlignment="1">
      <alignment horizontal="left" vertical="center" wrapText="1"/>
    </xf>
    <xf numFmtId="0" fontId="10" fillId="0" borderId="62"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9" xfId="0" applyFont="1" applyBorder="1" applyAlignment="1">
      <alignment horizontal="left" vertical="center" wrapText="1"/>
    </xf>
    <xf numFmtId="0" fontId="10" fillId="0" borderId="54" xfId="0" applyFont="1" applyBorder="1" applyAlignment="1">
      <alignment horizontal="left" wrapText="1"/>
    </xf>
    <xf numFmtId="0" fontId="10" fillId="0" borderId="26" xfId="0" applyFont="1" applyBorder="1" applyAlignment="1">
      <alignment horizontal="left" wrapText="1"/>
    </xf>
    <xf numFmtId="0" fontId="10" fillId="0" borderId="40" xfId="50" applyFont="1" applyBorder="1" applyAlignment="1">
      <alignment horizontal="left" vertical="center" wrapText="1"/>
    </xf>
    <xf numFmtId="0" fontId="10" fillId="0" borderId="62" xfId="50" applyFont="1" applyBorder="1" applyAlignment="1">
      <alignment horizontal="left" vertical="center" wrapText="1"/>
    </xf>
    <xf numFmtId="0" fontId="10" fillId="0" borderId="38" xfId="50" applyFont="1" applyBorder="1" applyAlignment="1">
      <alignment horizontal="left" vertical="center" wrapText="1"/>
    </xf>
    <xf numFmtId="0" fontId="10" fillId="0" borderId="9" xfId="50" applyFont="1" applyBorder="1" applyAlignment="1">
      <alignment horizontal="left" vertical="center" wrapText="1"/>
    </xf>
    <xf numFmtId="0" fontId="10" fillId="0" borderId="39" xfId="0" applyFont="1" applyBorder="1" applyAlignment="1">
      <alignment horizontal="left" vertical="center" wrapText="1"/>
    </xf>
    <xf numFmtId="0" fontId="10" fillId="0" borderId="5" xfId="0" applyFont="1" applyBorder="1" applyAlignment="1">
      <alignment horizontal="left" vertical="center" wrapText="1"/>
    </xf>
    <xf numFmtId="166" fontId="47" fillId="0" borderId="49" xfId="0" applyNumberFormat="1" applyFont="1" applyBorder="1" applyAlignment="1">
      <alignment horizontal="left"/>
    </xf>
    <xf numFmtId="166" fontId="47" fillId="0" borderId="43" xfId="0" applyNumberFormat="1" applyFont="1" applyBorder="1" applyAlignment="1">
      <alignment horizontal="left"/>
    </xf>
    <xf numFmtId="166" fontId="47" fillId="0" borderId="44" xfId="0" applyNumberFormat="1" applyFont="1" applyBorder="1" applyAlignment="1">
      <alignment horizontal="left"/>
    </xf>
    <xf numFmtId="0" fontId="10" fillId="0" borderId="71" xfId="0" applyFont="1" applyBorder="1" applyAlignment="1">
      <alignment horizontal="left" wrapText="1"/>
    </xf>
    <xf numFmtId="0" fontId="10" fillId="0" borderId="8" xfId="0" applyFont="1" applyBorder="1" applyAlignment="1">
      <alignment horizontal="left" wrapText="1"/>
    </xf>
    <xf numFmtId="0" fontId="10" fillId="0" borderId="29" xfId="0" applyFont="1" applyBorder="1" applyAlignment="1">
      <alignment horizontal="left" wrapText="1"/>
    </xf>
    <xf numFmtId="0" fontId="10" fillId="0" borderId="40" xfId="0" applyFont="1" applyBorder="1" applyAlignment="1">
      <alignment horizontal="left" wrapText="1"/>
    </xf>
    <xf numFmtId="0" fontId="11" fillId="0" borderId="2" xfId="0" applyFont="1" applyBorder="1" applyAlignment="1">
      <alignment horizontal="left" wrapText="1"/>
    </xf>
    <xf numFmtId="0" fontId="11" fillId="0" borderId="26" xfId="0" applyFont="1" applyBorder="1" applyAlignment="1">
      <alignment horizontal="left" wrapText="1"/>
    </xf>
    <xf numFmtId="0" fontId="10" fillId="0" borderId="54" xfId="50" applyFont="1" applyBorder="1" applyAlignment="1">
      <alignment horizontal="left" vertical="top" wrapText="1"/>
    </xf>
    <xf numFmtId="0" fontId="10" fillId="0" borderId="26" xfId="50" applyFont="1" applyBorder="1" applyAlignment="1">
      <alignment horizontal="left" vertical="top" wrapText="1"/>
    </xf>
    <xf numFmtId="0" fontId="10" fillId="0" borderId="10" xfId="0" applyFont="1" applyBorder="1" applyAlignment="1">
      <alignment horizontal="left" wrapText="1"/>
    </xf>
    <xf numFmtId="0" fontId="10" fillId="0" borderId="34" xfId="0" applyFont="1" applyBorder="1" applyAlignment="1">
      <alignment horizontal="left" wrapText="1"/>
    </xf>
    <xf numFmtId="0" fontId="10" fillId="0" borderId="2" xfId="0" applyFont="1" applyBorder="1" applyAlignment="1">
      <alignment horizontal="left" wrapText="1"/>
    </xf>
    <xf numFmtId="0" fontId="10" fillId="0" borderId="18" xfId="0" applyFont="1" applyBorder="1" applyAlignment="1">
      <alignment horizontal="left" wrapText="1"/>
    </xf>
    <xf numFmtId="0" fontId="10" fillId="0" borderId="33" xfId="0" applyFont="1" applyBorder="1" applyAlignment="1">
      <alignment horizontal="left" wrapText="1"/>
    </xf>
    <xf numFmtId="0" fontId="4" fillId="0" borderId="49" xfId="0" applyFont="1" applyBorder="1" applyAlignment="1">
      <alignment horizontal="left" wrapText="1"/>
    </xf>
    <xf numFmtId="0" fontId="4" fillId="0" borderId="44" xfId="0" applyFont="1" applyBorder="1" applyAlignment="1">
      <alignment horizontal="left" wrapText="1"/>
    </xf>
    <xf numFmtId="0" fontId="10" fillId="0" borderId="49" xfId="0" applyFont="1" applyBorder="1" applyAlignment="1">
      <alignment horizontal="left"/>
    </xf>
    <xf numFmtId="0" fontId="10" fillId="0" borderId="43" xfId="0" applyFont="1" applyBorder="1" applyAlignment="1">
      <alignment horizontal="left"/>
    </xf>
    <xf numFmtId="0" fontId="10" fillId="0" borderId="44" xfId="0" applyFont="1" applyBorder="1" applyAlignment="1">
      <alignment horizontal="left"/>
    </xf>
    <xf numFmtId="0" fontId="10" fillId="0" borderId="49" xfId="0" applyFont="1" applyBorder="1" applyAlignment="1">
      <alignment wrapText="1"/>
    </xf>
    <xf numFmtId="0" fontId="10" fillId="0" borderId="43" xfId="0" applyFont="1" applyBorder="1" applyAlignment="1">
      <alignment wrapText="1"/>
    </xf>
    <xf numFmtId="0" fontId="4" fillId="0" borderId="16" xfId="0" applyFont="1" applyBorder="1" applyAlignment="1">
      <alignment horizontal="left" wrapText="1"/>
    </xf>
    <xf numFmtId="0" fontId="4" fillId="0" borderId="72" xfId="0" applyFont="1" applyBorder="1" applyAlignment="1">
      <alignment horizontal="left" wrapText="1"/>
    </xf>
    <xf numFmtId="0" fontId="10" fillId="0" borderId="52" xfId="0" applyFont="1" applyBorder="1" applyAlignment="1">
      <alignment horizontal="left" wrapText="1"/>
    </xf>
    <xf numFmtId="0" fontId="10" fillId="0" borderId="0" xfId="0" applyFont="1" applyAlignment="1">
      <alignment horizontal="left" wrapText="1"/>
    </xf>
    <xf numFmtId="0" fontId="4" fillId="0" borderId="43" xfId="0" applyFont="1" applyBorder="1" applyAlignment="1">
      <alignment horizontal="left" wrapText="1"/>
    </xf>
    <xf numFmtId="0" fontId="10" fillId="0" borderId="49" xfId="0" applyFont="1" applyBorder="1" applyAlignment="1">
      <alignment horizontal="left" wrapText="1"/>
    </xf>
    <xf numFmtId="0" fontId="10" fillId="0" borderId="43" xfId="0" applyFont="1" applyBorder="1" applyAlignment="1">
      <alignment horizontal="left" wrapText="1"/>
    </xf>
    <xf numFmtId="0" fontId="10" fillId="0" borderId="63" xfId="0" applyFont="1" applyBorder="1" applyAlignment="1">
      <alignment horizontal="left" vertical="center" wrapText="1"/>
    </xf>
    <xf numFmtId="0" fontId="10" fillId="0" borderId="30" xfId="0" applyFont="1" applyBorder="1" applyAlignment="1">
      <alignment horizontal="left" vertical="center" wrapText="1"/>
    </xf>
    <xf numFmtId="0" fontId="10" fillId="0" borderId="41" xfId="0" applyFont="1" applyBorder="1" applyAlignment="1">
      <alignment horizontal="left" vertical="center" wrapText="1"/>
    </xf>
    <xf numFmtId="0" fontId="10" fillId="0" borderId="13" xfId="50" applyFont="1" applyBorder="1" applyAlignment="1">
      <alignment horizontal="left" vertical="center" wrapText="1"/>
    </xf>
    <xf numFmtId="0" fontId="10" fillId="0" borderId="37" xfId="50" applyFont="1" applyBorder="1" applyAlignment="1">
      <alignment horizontal="left" vertical="center" wrapText="1"/>
    </xf>
    <xf numFmtId="0" fontId="10" fillId="0" borderId="38" xfId="0" applyFont="1" applyBorder="1" applyAlignment="1">
      <alignment horizontal="left"/>
    </xf>
    <xf numFmtId="0" fontId="10" fillId="0" borderId="9" xfId="0" applyFont="1" applyBorder="1" applyAlignment="1">
      <alignment horizontal="left"/>
    </xf>
    <xf numFmtId="0" fontId="48" fillId="0" borderId="0" xfId="51" applyFont="1" applyAlignment="1">
      <alignment horizontal="center"/>
    </xf>
    <xf numFmtId="0" fontId="10" fillId="0" borderId="23" xfId="0" applyFont="1" applyBorder="1" applyAlignment="1">
      <alignment horizontal="left" vertical="center"/>
    </xf>
    <xf numFmtId="0" fontId="10" fillId="0" borderId="47" xfId="0" applyFont="1" applyBorder="1" applyAlignment="1">
      <alignment horizontal="left" vertical="center"/>
    </xf>
    <xf numFmtId="0" fontId="10" fillId="0" borderId="25" xfId="0" applyFont="1" applyBorder="1" applyAlignment="1">
      <alignment horizontal="left" vertical="center"/>
    </xf>
    <xf numFmtId="0" fontId="10" fillId="0" borderId="30" xfId="50" applyFont="1" applyBorder="1" applyAlignment="1">
      <alignment horizontal="left" vertical="top" wrapText="1"/>
    </xf>
    <xf numFmtId="0" fontId="10" fillId="0" borderId="41" xfId="50" applyFont="1" applyBorder="1" applyAlignment="1">
      <alignment horizontal="left" vertical="top" wrapText="1"/>
    </xf>
    <xf numFmtId="0" fontId="4" fillId="0" borderId="49" xfId="0" applyFont="1" applyBorder="1" applyAlignment="1">
      <alignment horizontal="right" vertical="center" wrapText="1"/>
    </xf>
    <xf numFmtId="0" fontId="4" fillId="0" borderId="44" xfId="0" applyFont="1" applyBorder="1" applyAlignment="1">
      <alignment horizontal="right" vertical="center" wrapText="1"/>
    </xf>
    <xf numFmtId="0" fontId="0" fillId="0" borderId="39" xfId="0" applyBorder="1" applyAlignment="1">
      <alignment horizontal="center"/>
    </xf>
    <xf numFmtId="0" fontId="0" fillId="0" borderId="5" xfId="0" applyBorder="1" applyAlignment="1">
      <alignment horizontal="center"/>
    </xf>
    <xf numFmtId="0" fontId="0" fillId="0" borderId="42" xfId="0" applyBorder="1" applyAlignment="1">
      <alignment horizontal="center"/>
    </xf>
    <xf numFmtId="0" fontId="0" fillId="0" borderId="47" xfId="0" applyBorder="1" applyAlignment="1">
      <alignment horizontal="center"/>
    </xf>
    <xf numFmtId="0" fontId="0" fillId="0" borderId="25" xfId="0" applyBorder="1" applyAlignment="1">
      <alignment horizontal="center"/>
    </xf>
    <xf numFmtId="0" fontId="10" fillId="0" borderId="23" xfId="50" applyFont="1" applyBorder="1" applyAlignment="1">
      <alignment horizontal="left" vertical="top" wrapText="1"/>
    </xf>
    <xf numFmtId="0" fontId="10" fillId="0" borderId="63" xfId="50" applyFont="1" applyBorder="1" applyAlignment="1">
      <alignment horizontal="center" vertical="top" wrapText="1"/>
    </xf>
    <xf numFmtId="0" fontId="10" fillId="0" borderId="30" xfId="50" applyFont="1" applyBorder="1" applyAlignment="1">
      <alignment horizontal="center" vertical="top" wrapText="1"/>
    </xf>
    <xf numFmtId="0" fontId="10" fillId="0" borderId="41" xfId="50" applyFont="1" applyBorder="1" applyAlignment="1">
      <alignment horizontal="center" vertical="top" wrapText="1"/>
    </xf>
    <xf numFmtId="0" fontId="10" fillId="0" borderId="10" xfId="50" applyFont="1" applyBorder="1" applyAlignment="1">
      <alignment horizontal="left" vertical="center" wrapText="1"/>
    </xf>
    <xf numFmtId="0" fontId="10" fillId="0" borderId="4" xfId="50" applyFont="1" applyBorder="1" applyAlignment="1">
      <alignment horizontal="left" vertical="center" wrapText="1"/>
    </xf>
    <xf numFmtId="0" fontId="10" fillId="0" borderId="17" xfId="50" applyFont="1" applyBorder="1" applyAlignment="1">
      <alignment horizontal="left" vertical="center" wrapText="1"/>
    </xf>
    <xf numFmtId="0" fontId="4" fillId="0" borderId="39" xfId="0" applyFont="1" applyBorder="1" applyAlignment="1">
      <alignment horizontal="left" vertical="center" wrapText="1"/>
    </xf>
    <xf numFmtId="0" fontId="4" fillId="0" borderId="42" xfId="0" applyFont="1" applyBorder="1" applyAlignment="1">
      <alignment horizontal="left" vertical="center" wrapText="1"/>
    </xf>
    <xf numFmtId="0" fontId="10" fillId="0" borderId="48" xfId="50" applyFont="1" applyBorder="1" applyAlignment="1">
      <alignment horizontal="left" vertical="center" wrapText="1"/>
    </xf>
    <xf numFmtId="0" fontId="10" fillId="0" borderId="24" xfId="50" applyFont="1" applyBorder="1" applyAlignment="1">
      <alignment horizontal="left" vertical="center" wrapText="1"/>
    </xf>
    <xf numFmtId="0" fontId="4" fillId="0" borderId="30" xfId="0" applyFont="1" applyBorder="1" applyAlignment="1">
      <alignment horizontal="left" vertical="center" wrapText="1"/>
    </xf>
    <xf numFmtId="0" fontId="10" fillId="0" borderId="45" xfId="0" applyFont="1" applyBorder="1" applyAlignment="1">
      <alignment horizontal="left" vertical="center" wrapText="1"/>
    </xf>
    <xf numFmtId="0" fontId="10" fillId="0" borderId="24" xfId="0" applyFont="1" applyBorder="1" applyAlignment="1">
      <alignment horizontal="left" vertical="center" wrapText="1"/>
    </xf>
    <xf numFmtId="0" fontId="10" fillId="0" borderId="18" xfId="50" applyFont="1" applyBorder="1" applyAlignment="1">
      <alignment horizontal="left" vertical="center" wrapText="1"/>
    </xf>
    <xf numFmtId="0" fontId="10" fillId="0" borderId="14" xfId="50" applyFont="1" applyBorder="1" applyAlignment="1">
      <alignment horizontal="left" vertical="center" wrapText="1"/>
    </xf>
    <xf numFmtId="0" fontId="10" fillId="0" borderId="22" xfId="50" applyFont="1" applyBorder="1" applyAlignment="1">
      <alignment horizontal="left" vertical="center" wrapText="1"/>
    </xf>
    <xf numFmtId="0" fontId="10" fillId="0" borderId="39" xfId="50" applyFont="1" applyBorder="1" applyAlignment="1">
      <alignment horizontal="left" vertical="center" wrapText="1"/>
    </xf>
    <xf numFmtId="0" fontId="10" fillId="0" borderId="5" xfId="50" applyFont="1" applyBorder="1" applyAlignment="1">
      <alignment horizontal="left" vertical="center" wrapText="1"/>
    </xf>
    <xf numFmtId="0" fontId="10" fillId="0" borderId="42" xfId="50" applyFont="1" applyBorder="1" applyAlignment="1">
      <alignment horizontal="left" vertical="center" wrapText="1"/>
    </xf>
    <xf numFmtId="0" fontId="4" fillId="0" borderId="63" xfId="0" applyFont="1" applyBorder="1" applyAlignment="1">
      <alignment horizontal="right" vertical="center" wrapText="1"/>
    </xf>
    <xf numFmtId="0" fontId="4" fillId="0" borderId="41" xfId="0" applyFont="1" applyBorder="1" applyAlignment="1">
      <alignment horizontal="right" vertical="center" wrapText="1"/>
    </xf>
    <xf numFmtId="0" fontId="0" fillId="0" borderId="43" xfId="0" applyBorder="1" applyAlignment="1">
      <alignment horizontal="center"/>
    </xf>
    <xf numFmtId="0" fontId="0" fillId="0" borderId="44" xfId="0" applyBorder="1" applyAlignment="1">
      <alignment horizontal="center"/>
    </xf>
    <xf numFmtId="0" fontId="0" fillId="0" borderId="49" xfId="0" applyBorder="1" applyAlignment="1">
      <alignment horizontal="center"/>
    </xf>
    <xf numFmtId="0" fontId="10" fillId="0" borderId="44" xfId="0" applyFont="1" applyBorder="1" applyAlignment="1">
      <alignment horizontal="left" wrapText="1"/>
    </xf>
    <xf numFmtId="0" fontId="10" fillId="0" borderId="0" xfId="50" applyFont="1" applyAlignment="1">
      <alignment horizontal="left" vertical="top" wrapText="1"/>
    </xf>
    <xf numFmtId="0" fontId="10" fillId="0" borderId="53" xfId="50" applyFont="1" applyBorder="1" applyAlignment="1">
      <alignment horizontal="left" vertical="top" wrapText="1"/>
    </xf>
    <xf numFmtId="0" fontId="10" fillId="0" borderId="54" xfId="50" applyFont="1" applyBorder="1" applyAlignment="1">
      <alignment horizontal="left" vertical="center" wrapText="1"/>
    </xf>
    <xf numFmtId="0" fontId="10" fillId="0" borderId="26" xfId="50" applyFont="1" applyBorder="1" applyAlignment="1">
      <alignment horizontal="left" vertical="center" wrapText="1"/>
    </xf>
    <xf numFmtId="0" fontId="10" fillId="0" borderId="36" xfId="0" applyFont="1" applyBorder="1" applyAlignment="1">
      <alignment horizontal="center" vertical="top" wrapText="1"/>
    </xf>
    <xf numFmtId="0" fontId="10" fillId="0" borderId="70" xfId="0" applyFont="1" applyBorder="1" applyAlignment="1">
      <alignment horizontal="center" vertical="top" wrapText="1"/>
    </xf>
    <xf numFmtId="0" fontId="10" fillId="0" borderId="19" xfId="0" applyFont="1" applyBorder="1" applyAlignment="1">
      <alignment horizontal="center" vertical="top" wrapText="1"/>
    </xf>
    <xf numFmtId="0" fontId="10" fillId="0" borderId="0" xfId="0" applyFont="1" applyAlignment="1">
      <alignment horizontal="center"/>
    </xf>
    <xf numFmtId="0" fontId="0" fillId="0" borderId="0" xfId="0" applyAlignment="1">
      <alignment horizontal="left" vertical="center"/>
    </xf>
    <xf numFmtId="0" fontId="3" fillId="0" borderId="0" xfId="0" applyFont="1" applyAlignment="1">
      <alignment horizontal="left" vertical="center"/>
    </xf>
    <xf numFmtId="0" fontId="9" fillId="0" borderId="0" xfId="0" applyFont="1" applyAlignment="1">
      <alignment horizontal="center" vertical="center"/>
    </xf>
    <xf numFmtId="0" fontId="52" fillId="0" borderId="0" xfId="0" applyFont="1" applyAlignment="1">
      <alignment horizontal="center" vertical="top" wrapText="1"/>
    </xf>
    <xf numFmtId="0" fontId="9" fillId="0" borderId="0" xfId="0" applyFont="1" applyAlignment="1">
      <alignment horizontal="center" vertical="top" wrapText="1"/>
    </xf>
  </cellXfs>
  <cellStyles count="6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BCCE132F-3F14-47A7-A37E-BE41913A1409}"/>
    <cellStyle name="Comma0 2" xfId="29" xr:uid="{7313CE69-A05B-4753-85A3-4C0554524064}"/>
    <cellStyle name="Currency0" xfId="30" xr:uid="{473CAEA6-1AD0-4C34-93F7-B2B611494551}"/>
    <cellStyle name="Currency0 2" xfId="31" xr:uid="{BFE06CDC-B7CF-437E-B41B-6DE9063F96C7}"/>
    <cellStyle name="Date" xfId="32" xr:uid="{2115BFF7-B4DE-488B-A81E-3739FC3CF1E1}"/>
    <cellStyle name="Date 2" xfId="33" xr:uid="{32D26D9B-D738-46D9-8A48-E56B0B2520DE}"/>
    <cellStyle name="Explanatory Text" xfId="34" builtinId="53" customBuiltin="1"/>
    <cellStyle name="Fixed" xfId="35" xr:uid="{506473E4-8F87-417C-B204-21F0A4FBF7E7}"/>
    <cellStyle name="Fixed 2" xfId="36" xr:uid="{158E0BA1-3995-40F6-A405-40484215565F}"/>
    <cellStyle name="Good" xfId="37" builtinId="26" customBuiltin="1"/>
    <cellStyle name="Heading 1" xfId="38" builtinId="16" customBuiltin="1"/>
    <cellStyle name="Heading 1 2" xfId="39" xr:uid="{245D4C20-9BF1-42E6-9142-8B04583ACB88}"/>
    <cellStyle name="Heading 1 3" xfId="40" xr:uid="{5126AB19-0F6E-48CA-BBAA-F664121D8BD3}"/>
    <cellStyle name="Heading 2" xfId="41" builtinId="17" customBuiltin="1"/>
    <cellStyle name="Heading 2 2" xfId="42" xr:uid="{8B2340C5-A369-4106-B397-D477E8EB8DFC}"/>
    <cellStyle name="Heading 2 3" xfId="43" xr:uid="{D576F5B2-1A79-4D2E-8ECA-2CC2F213E2FA}"/>
    <cellStyle name="Heading 3" xfId="44" builtinId="18" customBuiltin="1"/>
    <cellStyle name="Heading 4" xfId="45" builtinId="19" customBuiltin="1"/>
    <cellStyle name="Hyperlink" xfId="46" builtinId="8"/>
    <cellStyle name="Input" xfId="47" builtinId="20" customBuiltin="1"/>
    <cellStyle name="Linked Cell" xfId="48" builtinId="24" customBuiltin="1"/>
    <cellStyle name="Neutral" xfId="49" builtinId="28" customBuiltin="1"/>
    <cellStyle name="Normal" xfId="0" builtinId="0"/>
    <cellStyle name="Normal 2" xfId="50" xr:uid="{70EAE213-F1D0-459F-87BC-57901D9B5561}"/>
    <cellStyle name="Normal 3" xfId="51" xr:uid="{E3DB12D3-0351-44A3-AC63-D590C5F9F788}"/>
    <cellStyle name="Note 2" xfId="52" xr:uid="{9CB4F127-B288-432E-916D-01D0FC73D7B1}"/>
    <cellStyle name="Output" xfId="53" builtinId="21" customBuiltin="1"/>
    <cellStyle name="Percent" xfId="54" builtinId="5"/>
    <cellStyle name="Percent 2" xfId="55" xr:uid="{4A8A80F0-B6BA-4886-AEF0-CE3A5FA02036}"/>
    <cellStyle name="Percent 3" xfId="56" xr:uid="{7B886AA5-A7FD-474B-A7E1-A7D009A45A6F}"/>
    <cellStyle name="Title" xfId="57" builtinId="15" customBuiltin="1"/>
    <cellStyle name="Total" xfId="58" builtinId="25" customBuiltin="1"/>
    <cellStyle name="Total 2" xfId="59" xr:uid="{F5A6D2EB-711D-4937-8B16-6B4B100EE90C}"/>
    <cellStyle name="Total 3" xfId="60" xr:uid="{4DAD4357-140E-40BE-BC8F-D49BA9E6AABC}"/>
    <cellStyle name="Warning Text" xfId="61" builtinId="11"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auto="1"/>
      </font>
      <fill>
        <patternFill>
          <bgColor rgb="FFFF7C8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762000</xdr:colOff>
      <xdr:row>0</xdr:row>
      <xdr:rowOff>66675</xdr:rowOff>
    </xdr:from>
    <xdr:to>
      <xdr:col>7</xdr:col>
      <xdr:colOff>476250</xdr:colOff>
      <xdr:row>11</xdr:row>
      <xdr:rowOff>38100</xdr:rowOff>
    </xdr:to>
    <xdr:pic>
      <xdr:nvPicPr>
        <xdr:cNvPr id="11678" name="Picture 1">
          <a:extLst>
            <a:ext uri="{FF2B5EF4-FFF2-40B4-BE49-F238E27FC236}">
              <a16:creationId xmlns:a16="http://schemas.microsoft.com/office/drawing/2014/main" id="{E540F162-08C1-F4C7-873A-E2C07478C0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66675"/>
          <a:ext cx="50673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1647825</xdr:colOff>
      <xdr:row>63</xdr:row>
      <xdr:rowOff>104775</xdr:rowOff>
    </xdr:from>
    <xdr:to>
      <xdr:col>7</xdr:col>
      <xdr:colOff>180975</xdr:colOff>
      <xdr:row>75</xdr:row>
      <xdr:rowOff>9525</xdr:rowOff>
    </xdr:to>
    <xdr:sp macro="" textlink="">
      <xdr:nvSpPr>
        <xdr:cNvPr id="2" name="Rectangle 1">
          <a:extLst>
            <a:ext uri="{FF2B5EF4-FFF2-40B4-BE49-F238E27FC236}">
              <a16:creationId xmlns:a16="http://schemas.microsoft.com/office/drawing/2014/main" id="{54FA6192-BA73-CFA9-DB55-608752CEF78D}"/>
            </a:ext>
          </a:extLst>
        </xdr:cNvPr>
        <xdr:cNvSpPr/>
      </xdr:nvSpPr>
      <xdr:spPr bwMode="auto">
        <a:xfrm>
          <a:off x="1647825" y="10201275"/>
          <a:ext cx="4229100" cy="1866900"/>
        </a:xfrm>
        <a:prstGeom prst="rect">
          <a:avLst/>
        </a:prstGeom>
        <a:solidFill>
          <a:srgbClr val="9F9F9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180975</xdr:colOff>
      <xdr:row>5</xdr:row>
      <xdr:rowOff>0</xdr:rowOff>
    </xdr:from>
    <xdr:to>
      <xdr:col>12</xdr:col>
      <xdr:colOff>2314575</xdr:colOff>
      <xdr:row>19</xdr:row>
      <xdr:rowOff>38100</xdr:rowOff>
    </xdr:to>
    <xdr:pic>
      <xdr:nvPicPr>
        <xdr:cNvPr id="13897" name="Picture 2">
          <a:extLst>
            <a:ext uri="{FF2B5EF4-FFF2-40B4-BE49-F238E27FC236}">
              <a16:creationId xmlns:a16="http://schemas.microsoft.com/office/drawing/2014/main" id="{20A68040-A499-5E77-34C5-896C70CBFB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952500"/>
          <a:ext cx="4791075"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2305049</xdr:colOff>
      <xdr:row>0</xdr:row>
      <xdr:rowOff>104775</xdr:rowOff>
    </xdr:from>
    <xdr:to>
      <xdr:col>23</xdr:col>
      <xdr:colOff>161925</xdr:colOff>
      <xdr:row>48</xdr:row>
      <xdr:rowOff>238126</xdr:rowOff>
    </xdr:to>
    <xdr:sp macro="" textlink="">
      <xdr:nvSpPr>
        <xdr:cNvPr id="2" name="Rectangle 1">
          <a:extLst>
            <a:ext uri="{FF2B5EF4-FFF2-40B4-BE49-F238E27FC236}">
              <a16:creationId xmlns:a16="http://schemas.microsoft.com/office/drawing/2014/main" id="{641B8D34-931F-8FA2-167D-38D8629D5783}"/>
            </a:ext>
          </a:extLst>
        </xdr:cNvPr>
        <xdr:cNvSpPr/>
      </xdr:nvSpPr>
      <xdr:spPr bwMode="auto">
        <a:xfrm>
          <a:off x="16563974" y="104775"/>
          <a:ext cx="13477876" cy="8210551"/>
        </a:xfrm>
        <a:prstGeom prst="rect">
          <a:avLst/>
        </a:prstGeom>
        <a:solidFill>
          <a:srgbClr val="9F9F9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525860</xdr:colOff>
      <xdr:row>10</xdr:row>
      <xdr:rowOff>29765</xdr:rowOff>
    </xdr:from>
    <xdr:to>
      <xdr:col>20</xdr:col>
      <xdr:colOff>287734</xdr:colOff>
      <xdr:row>38</xdr:row>
      <xdr:rowOff>120651</xdr:rowOff>
    </xdr:to>
    <xdr:sp macro="" textlink="">
      <xdr:nvSpPr>
        <xdr:cNvPr id="3" name="Rectangle 2">
          <a:extLst>
            <a:ext uri="{FF2B5EF4-FFF2-40B4-BE49-F238E27FC236}">
              <a16:creationId xmlns:a16="http://schemas.microsoft.com/office/drawing/2014/main" id="{69D97B87-F3B5-3F9A-D26C-2D1F3709C0B9}"/>
            </a:ext>
          </a:extLst>
        </xdr:cNvPr>
        <xdr:cNvSpPr/>
      </xdr:nvSpPr>
      <xdr:spPr bwMode="auto">
        <a:xfrm>
          <a:off x="11132344" y="1974453"/>
          <a:ext cx="8880078" cy="5915026"/>
        </a:xfrm>
        <a:prstGeom prst="rect">
          <a:avLst/>
        </a:prstGeom>
        <a:solidFill>
          <a:srgbClr val="9F9F9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609599</xdr:colOff>
      <xdr:row>2</xdr:row>
      <xdr:rowOff>180975</xdr:rowOff>
    </xdr:from>
    <xdr:to>
      <xdr:col>23</xdr:col>
      <xdr:colOff>28574</xdr:colOff>
      <xdr:row>32</xdr:row>
      <xdr:rowOff>161925</xdr:rowOff>
    </xdr:to>
    <xdr:sp macro="" textlink="">
      <xdr:nvSpPr>
        <xdr:cNvPr id="2" name="Rectangle 1">
          <a:extLst>
            <a:ext uri="{FF2B5EF4-FFF2-40B4-BE49-F238E27FC236}">
              <a16:creationId xmlns:a16="http://schemas.microsoft.com/office/drawing/2014/main" id="{39D9BEDA-FAF2-67CE-20A1-699383C9850C}"/>
            </a:ext>
          </a:extLst>
        </xdr:cNvPr>
        <xdr:cNvSpPr/>
      </xdr:nvSpPr>
      <xdr:spPr bwMode="auto">
        <a:xfrm>
          <a:off x="10610849" y="619125"/>
          <a:ext cx="13058775" cy="6229350"/>
        </a:xfrm>
        <a:prstGeom prst="rect">
          <a:avLst/>
        </a:prstGeom>
        <a:solidFill>
          <a:srgbClr val="9F9F9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2152649</xdr:colOff>
      <xdr:row>0</xdr:row>
      <xdr:rowOff>171450</xdr:rowOff>
    </xdr:from>
    <xdr:to>
      <xdr:col>24</xdr:col>
      <xdr:colOff>47625</xdr:colOff>
      <xdr:row>65</xdr:row>
      <xdr:rowOff>47625</xdr:rowOff>
    </xdr:to>
    <xdr:sp macro="" textlink="">
      <xdr:nvSpPr>
        <xdr:cNvPr id="2" name="Rectangle 1">
          <a:extLst>
            <a:ext uri="{FF2B5EF4-FFF2-40B4-BE49-F238E27FC236}">
              <a16:creationId xmlns:a16="http://schemas.microsoft.com/office/drawing/2014/main" id="{0888070A-CC66-472B-CC03-CE551A971249}"/>
            </a:ext>
          </a:extLst>
        </xdr:cNvPr>
        <xdr:cNvSpPr/>
      </xdr:nvSpPr>
      <xdr:spPr bwMode="auto">
        <a:xfrm>
          <a:off x="13049249" y="171450"/>
          <a:ext cx="11763376" cy="12392025"/>
        </a:xfrm>
        <a:prstGeom prst="rect">
          <a:avLst/>
        </a:prstGeom>
        <a:solidFill>
          <a:srgbClr val="9F9F9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AU"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9</xdr:col>
      <xdr:colOff>1024890</xdr:colOff>
      <xdr:row>27</xdr:row>
      <xdr:rowOff>80010</xdr:rowOff>
    </xdr:from>
    <xdr:to>
      <xdr:col>9</xdr:col>
      <xdr:colOff>2244090</xdr:colOff>
      <xdr:row>31</xdr:row>
      <xdr:rowOff>110490</xdr:rowOff>
    </xdr:to>
    <xdr:sp macro="" textlink="">
      <xdr:nvSpPr>
        <xdr:cNvPr id="12298" name="Text Box 10" hidden="1">
          <a:extLst>
            <a:ext uri="{FF2B5EF4-FFF2-40B4-BE49-F238E27FC236}">
              <a16:creationId xmlns:a16="http://schemas.microsoft.com/office/drawing/2014/main" id="{303477D0-BFE5-F32D-A2A6-22A0BE9F2B13}"/>
            </a:ext>
          </a:extLst>
        </xdr:cNvPr>
        <xdr:cNvSpPr txBox="1">
          <a:spLocks noChangeArrowheads="1"/>
        </xdr:cNvSpPr>
      </xdr:nvSpPr>
      <xdr:spPr bwMode="auto">
        <a:xfrm>
          <a:off x="5486400" y="4962525"/>
          <a:ext cx="1219200" cy="64770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342900</xdr:colOff>
      <xdr:row>28</xdr:row>
      <xdr:rowOff>72390</xdr:rowOff>
    </xdr:from>
    <xdr:to>
      <xdr:col>9</xdr:col>
      <xdr:colOff>415290</xdr:colOff>
      <xdr:row>34</xdr:row>
      <xdr:rowOff>186690</xdr:rowOff>
    </xdr:to>
    <xdr:sp macro="" textlink="">
      <xdr:nvSpPr>
        <xdr:cNvPr id="12297" name="Text Box 9" hidden="1">
          <a:extLst>
            <a:ext uri="{FF2B5EF4-FFF2-40B4-BE49-F238E27FC236}">
              <a16:creationId xmlns:a16="http://schemas.microsoft.com/office/drawing/2014/main" id="{CEAC896C-353C-2A7D-116B-07B76A8F26FE}"/>
            </a:ext>
          </a:extLst>
        </xdr:cNvPr>
        <xdr:cNvSpPr txBox="1">
          <a:spLocks noChangeArrowheads="1"/>
        </xdr:cNvSpPr>
      </xdr:nvSpPr>
      <xdr:spPr bwMode="auto">
        <a:xfrm>
          <a:off x="3657600" y="5124450"/>
          <a:ext cx="1219200" cy="1019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3</xdr:col>
      <xdr:colOff>300990</xdr:colOff>
      <xdr:row>28</xdr:row>
      <xdr:rowOff>72390</xdr:rowOff>
    </xdr:from>
    <xdr:to>
      <xdr:col>6</xdr:col>
      <xdr:colOff>342900</xdr:colOff>
      <xdr:row>34</xdr:row>
      <xdr:rowOff>186690</xdr:rowOff>
    </xdr:to>
    <xdr:sp macro="" textlink="">
      <xdr:nvSpPr>
        <xdr:cNvPr id="12296" name="Text Box 8" hidden="1">
          <a:extLst>
            <a:ext uri="{FF2B5EF4-FFF2-40B4-BE49-F238E27FC236}">
              <a16:creationId xmlns:a16="http://schemas.microsoft.com/office/drawing/2014/main" id="{F6136417-E558-44BD-EB9A-6FD62092759F}"/>
            </a:ext>
          </a:extLst>
        </xdr:cNvPr>
        <xdr:cNvSpPr txBox="1">
          <a:spLocks noChangeArrowheads="1"/>
        </xdr:cNvSpPr>
      </xdr:nvSpPr>
      <xdr:spPr bwMode="auto">
        <a:xfrm>
          <a:off x="2438400" y="5124450"/>
          <a:ext cx="1219200" cy="101917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1024890</xdr:colOff>
      <xdr:row>29</xdr:row>
      <xdr:rowOff>34290</xdr:rowOff>
    </xdr:from>
    <xdr:to>
      <xdr:col>9</xdr:col>
      <xdr:colOff>2244090</xdr:colOff>
      <xdr:row>34</xdr:row>
      <xdr:rowOff>186690</xdr:rowOff>
    </xdr:to>
    <xdr:sp macro="" textlink="">
      <xdr:nvSpPr>
        <xdr:cNvPr id="12295" name="Text Box 7" hidden="1">
          <a:extLst>
            <a:ext uri="{FF2B5EF4-FFF2-40B4-BE49-F238E27FC236}">
              <a16:creationId xmlns:a16="http://schemas.microsoft.com/office/drawing/2014/main" id="{49A979E0-7CB1-7FA5-DCC4-6A41C7B80A68}"/>
            </a:ext>
          </a:extLst>
        </xdr:cNvPr>
        <xdr:cNvSpPr txBox="1">
          <a:spLocks noChangeArrowheads="1"/>
        </xdr:cNvSpPr>
      </xdr:nvSpPr>
      <xdr:spPr bwMode="auto">
        <a:xfrm>
          <a:off x="5486400" y="5286375"/>
          <a:ext cx="1219200" cy="8572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192405</xdr:colOff>
      <xdr:row>29</xdr:row>
      <xdr:rowOff>34290</xdr:rowOff>
    </xdr:from>
    <xdr:to>
      <xdr:col>9</xdr:col>
      <xdr:colOff>1024890</xdr:colOff>
      <xdr:row>34</xdr:row>
      <xdr:rowOff>186690</xdr:rowOff>
    </xdr:to>
    <xdr:sp macro="" textlink="">
      <xdr:nvSpPr>
        <xdr:cNvPr id="12294" name="Text Box 6" hidden="1">
          <a:extLst>
            <a:ext uri="{FF2B5EF4-FFF2-40B4-BE49-F238E27FC236}">
              <a16:creationId xmlns:a16="http://schemas.microsoft.com/office/drawing/2014/main" id="{BB5F82D2-CFE4-04A6-61F8-38A5441668E9}"/>
            </a:ext>
          </a:extLst>
        </xdr:cNvPr>
        <xdr:cNvSpPr txBox="1">
          <a:spLocks noChangeArrowheads="1"/>
        </xdr:cNvSpPr>
      </xdr:nvSpPr>
      <xdr:spPr bwMode="auto">
        <a:xfrm>
          <a:off x="4267200" y="5286375"/>
          <a:ext cx="1219200" cy="8572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114300</xdr:colOff>
      <xdr:row>29</xdr:row>
      <xdr:rowOff>34290</xdr:rowOff>
    </xdr:from>
    <xdr:to>
      <xdr:col>8</xdr:col>
      <xdr:colOff>192405</xdr:colOff>
      <xdr:row>34</xdr:row>
      <xdr:rowOff>186690</xdr:rowOff>
    </xdr:to>
    <xdr:sp macro="" textlink="">
      <xdr:nvSpPr>
        <xdr:cNvPr id="12293" name="Text Box 5" hidden="1">
          <a:extLst>
            <a:ext uri="{FF2B5EF4-FFF2-40B4-BE49-F238E27FC236}">
              <a16:creationId xmlns:a16="http://schemas.microsoft.com/office/drawing/2014/main" id="{9864B951-3AD1-8060-69F3-05C63C10FD12}"/>
            </a:ext>
          </a:extLst>
        </xdr:cNvPr>
        <xdr:cNvSpPr txBox="1">
          <a:spLocks noChangeArrowheads="1"/>
        </xdr:cNvSpPr>
      </xdr:nvSpPr>
      <xdr:spPr bwMode="auto">
        <a:xfrm>
          <a:off x="3048000" y="5286375"/>
          <a:ext cx="1219200" cy="8572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1786890</xdr:colOff>
      <xdr:row>27</xdr:row>
      <xdr:rowOff>148590</xdr:rowOff>
    </xdr:from>
    <xdr:to>
      <xdr:col>11</xdr:col>
      <xdr:colOff>249555</xdr:colOff>
      <xdr:row>34</xdr:row>
      <xdr:rowOff>186690</xdr:rowOff>
    </xdr:to>
    <xdr:sp macro="" textlink="">
      <xdr:nvSpPr>
        <xdr:cNvPr id="12292" name="Text Box 4" hidden="1">
          <a:extLst>
            <a:ext uri="{FF2B5EF4-FFF2-40B4-BE49-F238E27FC236}">
              <a16:creationId xmlns:a16="http://schemas.microsoft.com/office/drawing/2014/main" id="{43BCD3D0-78B5-72C9-9670-4A9D07B580E5}"/>
            </a:ext>
          </a:extLst>
        </xdr:cNvPr>
        <xdr:cNvSpPr txBox="1">
          <a:spLocks noChangeArrowheads="1"/>
        </xdr:cNvSpPr>
      </xdr:nvSpPr>
      <xdr:spPr bwMode="auto">
        <a:xfrm>
          <a:off x="6238875" y="5029200"/>
          <a:ext cx="1676400" cy="11144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262890</xdr:colOff>
      <xdr:row>29</xdr:row>
      <xdr:rowOff>110490</xdr:rowOff>
    </xdr:from>
    <xdr:to>
      <xdr:col>8</xdr:col>
      <xdr:colOff>340995</xdr:colOff>
      <xdr:row>34</xdr:row>
      <xdr:rowOff>186690</xdr:rowOff>
    </xdr:to>
    <xdr:sp macro="" textlink="">
      <xdr:nvSpPr>
        <xdr:cNvPr id="12291" name="Text Box 3" hidden="1">
          <a:extLst>
            <a:ext uri="{FF2B5EF4-FFF2-40B4-BE49-F238E27FC236}">
              <a16:creationId xmlns:a16="http://schemas.microsoft.com/office/drawing/2014/main" id="{C97E7751-AB32-16A6-21A0-945FC43C1784}"/>
            </a:ext>
          </a:extLst>
        </xdr:cNvPr>
        <xdr:cNvSpPr txBox="1">
          <a:spLocks noChangeArrowheads="1"/>
        </xdr:cNvSpPr>
      </xdr:nvSpPr>
      <xdr:spPr bwMode="auto">
        <a:xfrm>
          <a:off x="3190875" y="5362575"/>
          <a:ext cx="1219200" cy="7810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340995</xdr:colOff>
      <xdr:row>29</xdr:row>
      <xdr:rowOff>110490</xdr:rowOff>
    </xdr:from>
    <xdr:to>
      <xdr:col>9</xdr:col>
      <xdr:colOff>1177290</xdr:colOff>
      <xdr:row>34</xdr:row>
      <xdr:rowOff>186690</xdr:rowOff>
    </xdr:to>
    <xdr:sp macro="" textlink="">
      <xdr:nvSpPr>
        <xdr:cNvPr id="12290" name="Text Box 2" hidden="1">
          <a:extLst>
            <a:ext uri="{FF2B5EF4-FFF2-40B4-BE49-F238E27FC236}">
              <a16:creationId xmlns:a16="http://schemas.microsoft.com/office/drawing/2014/main" id="{45A88792-585B-162F-F5BB-F02DBAA10CBA}"/>
            </a:ext>
          </a:extLst>
        </xdr:cNvPr>
        <xdr:cNvSpPr txBox="1">
          <a:spLocks noChangeArrowheads="1"/>
        </xdr:cNvSpPr>
      </xdr:nvSpPr>
      <xdr:spPr bwMode="auto">
        <a:xfrm>
          <a:off x="4410075" y="5362575"/>
          <a:ext cx="1219200" cy="7810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567690</xdr:colOff>
      <xdr:row>29</xdr:row>
      <xdr:rowOff>110490</xdr:rowOff>
    </xdr:from>
    <xdr:to>
      <xdr:col>9</xdr:col>
      <xdr:colOff>1786890</xdr:colOff>
      <xdr:row>34</xdr:row>
      <xdr:rowOff>186690</xdr:rowOff>
    </xdr:to>
    <xdr:sp macro="" textlink="">
      <xdr:nvSpPr>
        <xdr:cNvPr id="12289" name="Text Box 1" hidden="1">
          <a:extLst>
            <a:ext uri="{FF2B5EF4-FFF2-40B4-BE49-F238E27FC236}">
              <a16:creationId xmlns:a16="http://schemas.microsoft.com/office/drawing/2014/main" id="{4B73BBAB-20FD-50BA-7DA2-47418F6CED66}"/>
            </a:ext>
          </a:extLst>
        </xdr:cNvPr>
        <xdr:cNvSpPr txBox="1">
          <a:spLocks noChangeArrowheads="1"/>
        </xdr:cNvSpPr>
      </xdr:nvSpPr>
      <xdr:spPr bwMode="auto">
        <a:xfrm>
          <a:off x="5019675" y="5362575"/>
          <a:ext cx="1219200" cy="7810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ec.com.au/" TargetMode="External"/><Relationship Id="rId1" Type="http://schemas.openxmlformats.org/officeDocument/2006/relationships/hyperlink" Target="https://www.austieca.com.au/publications/appendix-b-sediment-basin-design-and-operatio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30724-3893-44A5-A1AC-E4295AEFEDF9}">
  <dimension ref="A13:L24"/>
  <sheetViews>
    <sheetView tabSelected="1" zoomScaleNormal="100" workbookViewId="0">
      <selection activeCell="B24" sqref="B24"/>
    </sheetView>
  </sheetViews>
  <sheetFormatPr defaultRowHeight="12.75" x14ac:dyDescent="0.2"/>
  <cols>
    <col min="1" max="1" width="24.42578125" customWidth="1"/>
    <col min="2" max="2" width="10.140625" bestFit="1" customWidth="1"/>
  </cols>
  <sheetData>
    <row r="13" spans="1:12" x14ac:dyDescent="0.2">
      <c r="A13" s="213" t="s">
        <v>286</v>
      </c>
      <c r="B13">
        <v>5.9</v>
      </c>
    </row>
    <row r="14" spans="1:12" x14ac:dyDescent="0.2">
      <c r="A14" s="213" t="s">
        <v>287</v>
      </c>
      <c r="B14" s="381">
        <v>45709</v>
      </c>
    </row>
    <row r="16" spans="1:12" ht="61.5" customHeight="1" x14ac:dyDescent="0.2">
      <c r="A16" s="458" t="s">
        <v>299</v>
      </c>
      <c r="B16" s="458"/>
      <c r="C16" s="458"/>
      <c r="D16" s="458"/>
      <c r="E16" s="458"/>
      <c r="F16" s="458"/>
      <c r="G16" s="458"/>
      <c r="H16" s="458"/>
      <c r="I16" s="458"/>
      <c r="L16" s="144"/>
    </row>
    <row r="17" spans="1:9" x14ac:dyDescent="0.2">
      <c r="A17" s="459" t="s">
        <v>301</v>
      </c>
      <c r="B17" s="459"/>
      <c r="C17" s="459"/>
      <c r="D17" s="459"/>
      <c r="E17" s="459"/>
      <c r="F17" s="459"/>
      <c r="G17" s="459"/>
      <c r="H17" s="459"/>
      <c r="I17" s="459"/>
    </row>
    <row r="18" spans="1:9" x14ac:dyDescent="0.2">
      <c r="A18" s="7"/>
      <c r="B18" s="7"/>
      <c r="C18" s="7"/>
      <c r="D18" s="7"/>
      <c r="E18" s="7"/>
      <c r="F18" s="7"/>
      <c r="G18" s="7"/>
      <c r="H18" s="7"/>
      <c r="I18" s="7"/>
    </row>
    <row r="19" spans="1:9" ht="74.25" customHeight="1" x14ac:dyDescent="0.2">
      <c r="A19" s="460" t="s">
        <v>300</v>
      </c>
      <c r="B19" s="458"/>
      <c r="C19" s="458"/>
      <c r="D19" s="458"/>
      <c r="E19" s="458"/>
      <c r="F19" s="458"/>
      <c r="G19" s="458"/>
      <c r="H19" s="458"/>
      <c r="I19" s="458"/>
    </row>
    <row r="20" spans="1:9" x14ac:dyDescent="0.2">
      <c r="A20" s="7"/>
      <c r="B20" s="7"/>
      <c r="C20" s="7"/>
      <c r="D20" s="7"/>
      <c r="E20" s="7"/>
      <c r="F20" s="7"/>
      <c r="G20" s="7"/>
      <c r="H20" s="7"/>
      <c r="I20" s="7"/>
    </row>
    <row r="21" spans="1:9" x14ac:dyDescent="0.2">
      <c r="A21" s="461" t="s">
        <v>289</v>
      </c>
      <c r="B21" s="461"/>
      <c r="C21" s="461"/>
      <c r="D21" s="461"/>
      <c r="E21" s="461"/>
      <c r="F21" s="461"/>
      <c r="G21" s="461"/>
      <c r="H21" s="461"/>
      <c r="I21" s="461"/>
    </row>
    <row r="22" spans="1:9" x14ac:dyDescent="0.2">
      <c r="A22" s="459" t="s">
        <v>288</v>
      </c>
      <c r="B22" s="459"/>
      <c r="C22" s="459"/>
      <c r="D22" s="459"/>
      <c r="E22" s="459"/>
      <c r="F22" s="459"/>
      <c r="G22" s="459"/>
      <c r="H22" s="459"/>
      <c r="I22" s="459"/>
    </row>
    <row r="24" spans="1:9" x14ac:dyDescent="0.2">
      <c r="D24" s="382"/>
    </row>
  </sheetData>
  <sheetProtection algorithmName="SHA-512" hashValue="+cvYv91eQPhjIN3n5FF2qNm13uoYttPnlbtJhPvbf93DRU25qSKKKQQFAcJNZU0z9ITybisRfBbkWgj28sd6GQ==" saltValue="c1bzg58eajR/W/nzZr1gdQ==" spinCount="100000" sheet="1" objects="1" scenarios="1" selectLockedCells="1" selectUnlockedCells="1"/>
  <mergeCells count="5">
    <mergeCell ref="A16:I16"/>
    <mergeCell ref="A17:I17"/>
    <mergeCell ref="A19:I19"/>
    <mergeCell ref="A21:I21"/>
    <mergeCell ref="A22:I22"/>
  </mergeCells>
  <hyperlinks>
    <hyperlink ref="A17" r:id="rId1" xr:uid="{0C885928-C9FA-45B6-8DC5-130C94CB038C}"/>
    <hyperlink ref="A22" r:id="rId2" xr:uid="{2CAC3009-C48C-4E24-9520-C21E860DC1D7}"/>
  </hyperlinks>
  <pageMargins left="0.7" right="0.7" top="0.75" bottom="0.75" header="0.3" footer="0.3"/>
  <pageSetup paperSize="9" scale="90"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46D1C-F3F8-4C52-98F0-43BD96F1078C}">
  <sheetPr codeName="Sheet1"/>
  <dimension ref="A1:J77"/>
  <sheetViews>
    <sheetView showZeros="0" view="pageBreakPreview" topLeftCell="A2" zoomScaleNormal="100" zoomScaleSheetLayoutView="100" workbookViewId="0">
      <selection activeCell="B47" sqref="B47"/>
    </sheetView>
  </sheetViews>
  <sheetFormatPr defaultRowHeight="12.75" x14ac:dyDescent="0.2"/>
  <cols>
    <col min="1" max="1" width="29.7109375" style="1" customWidth="1"/>
    <col min="2" max="7" width="9.28515625" customWidth="1"/>
    <col min="8" max="8" width="30.7109375" customWidth="1"/>
  </cols>
  <sheetData>
    <row r="1" spans="1:8" ht="18.75" customHeight="1" x14ac:dyDescent="0.2">
      <c r="A1" s="462" t="s">
        <v>42</v>
      </c>
      <c r="B1" s="463"/>
      <c r="C1" s="463"/>
      <c r="D1" s="463"/>
      <c r="E1" s="463"/>
      <c r="F1" s="463"/>
      <c r="G1" s="463"/>
      <c r="H1" s="463"/>
    </row>
    <row r="2" spans="1:8" ht="4.5" customHeight="1" x14ac:dyDescent="0.2">
      <c r="A2" s="464"/>
      <c r="B2" s="465"/>
      <c r="C2" s="465"/>
      <c r="D2" s="465"/>
      <c r="E2" s="465"/>
      <c r="F2" s="465"/>
      <c r="G2" s="465"/>
      <c r="H2" s="465"/>
    </row>
    <row r="3" spans="1:8" ht="14.1" customHeight="1" x14ac:dyDescent="0.2">
      <c r="A3" s="469" t="s">
        <v>9</v>
      </c>
      <c r="B3" s="466"/>
      <c r="C3" s="467"/>
      <c r="D3" s="467"/>
      <c r="E3" s="467"/>
      <c r="F3" s="467"/>
      <c r="G3" s="467"/>
      <c r="H3" s="468"/>
    </row>
    <row r="4" spans="1:8" ht="8.25" customHeight="1" x14ac:dyDescent="0.2">
      <c r="A4" s="469"/>
      <c r="B4" s="467"/>
      <c r="C4" s="467"/>
      <c r="D4" s="467"/>
      <c r="E4" s="467"/>
      <c r="F4" s="467"/>
      <c r="G4" s="467"/>
      <c r="H4" s="468"/>
    </row>
    <row r="5" spans="1:8" ht="14.1" customHeight="1" x14ac:dyDescent="0.2">
      <c r="A5" s="469" t="s">
        <v>8</v>
      </c>
      <c r="B5" s="466"/>
      <c r="C5" s="467"/>
      <c r="D5" s="467"/>
      <c r="E5" s="467"/>
      <c r="F5" s="467"/>
      <c r="G5" s="467"/>
      <c r="H5" s="468"/>
    </row>
    <row r="6" spans="1:8" ht="9.75" customHeight="1" x14ac:dyDescent="0.2">
      <c r="A6" s="469"/>
      <c r="B6" s="467"/>
      <c r="C6" s="467"/>
      <c r="D6" s="467"/>
      <c r="E6" s="467"/>
      <c r="F6" s="467"/>
      <c r="G6" s="467"/>
      <c r="H6" s="468"/>
    </row>
    <row r="7" spans="1:8" ht="14.1" customHeight="1" x14ac:dyDescent="0.2">
      <c r="A7" s="469" t="s">
        <v>48</v>
      </c>
      <c r="B7" s="466"/>
      <c r="C7" s="467"/>
      <c r="D7" s="467"/>
      <c r="E7" s="467"/>
      <c r="F7" s="467"/>
      <c r="G7" s="467"/>
      <c r="H7" s="468"/>
    </row>
    <row r="8" spans="1:8" ht="9" customHeight="1" x14ac:dyDescent="0.2">
      <c r="A8" s="469"/>
      <c r="B8" s="467"/>
      <c r="C8" s="467"/>
      <c r="D8" s="467"/>
      <c r="E8" s="467"/>
      <c r="F8" s="467"/>
      <c r="G8" s="467"/>
      <c r="H8" s="468"/>
    </row>
    <row r="9" spans="1:8" ht="14.1" customHeight="1" x14ac:dyDescent="0.2">
      <c r="A9" s="469" t="s">
        <v>49</v>
      </c>
      <c r="B9" s="466"/>
      <c r="C9" s="498"/>
      <c r="D9" s="498"/>
      <c r="E9" s="498"/>
      <c r="F9" s="498"/>
      <c r="G9" s="498"/>
      <c r="H9" s="498"/>
    </row>
    <row r="10" spans="1:8" ht="5.25" customHeight="1" x14ac:dyDescent="0.2">
      <c r="A10" s="497"/>
      <c r="B10" s="498"/>
      <c r="C10" s="498"/>
      <c r="D10" s="498"/>
      <c r="E10" s="498"/>
      <c r="F10" s="498"/>
      <c r="G10" s="498"/>
      <c r="H10" s="498"/>
    </row>
    <row r="11" spans="1:8" ht="6.75" customHeight="1" thickBot="1" x14ac:dyDescent="0.25">
      <c r="A11" s="497"/>
      <c r="B11" s="498"/>
      <c r="C11" s="498"/>
      <c r="D11" s="498"/>
      <c r="E11" s="498"/>
      <c r="F11" s="498"/>
      <c r="G11" s="498"/>
      <c r="H11" s="498"/>
    </row>
    <row r="12" spans="1:8" ht="14.1" customHeight="1" thickBot="1" x14ac:dyDescent="0.25">
      <c r="A12" s="499" t="s">
        <v>17</v>
      </c>
      <c r="B12" s="493" t="s">
        <v>43</v>
      </c>
      <c r="C12" s="494"/>
      <c r="D12" s="494"/>
      <c r="E12" s="494"/>
      <c r="F12" s="494"/>
      <c r="G12" s="494"/>
      <c r="H12" s="499" t="s">
        <v>44</v>
      </c>
    </row>
    <row r="13" spans="1:8" ht="13.5" thickBot="1" x14ac:dyDescent="0.25">
      <c r="A13" s="500"/>
      <c r="B13" s="309"/>
      <c r="C13" s="312"/>
      <c r="D13" s="312"/>
      <c r="E13" s="312"/>
      <c r="F13" s="312"/>
      <c r="G13" s="312"/>
      <c r="H13" s="501"/>
    </row>
    <row r="14" spans="1:8" ht="14.1" customHeight="1" x14ac:dyDescent="0.2">
      <c r="A14" s="503" t="s">
        <v>18</v>
      </c>
      <c r="B14" s="344"/>
      <c r="C14" s="346"/>
      <c r="D14" s="346"/>
      <c r="E14" s="346"/>
      <c r="F14" s="346"/>
      <c r="G14" s="346"/>
      <c r="H14" s="502"/>
    </row>
    <row r="15" spans="1:8" ht="14.1" customHeight="1" thickBot="1" x14ac:dyDescent="0.25">
      <c r="A15" s="496" t="s">
        <v>19</v>
      </c>
      <c r="B15" s="348"/>
      <c r="C15" s="18"/>
      <c r="D15" s="18"/>
      <c r="E15" s="18"/>
      <c r="F15" s="18"/>
      <c r="G15" s="18"/>
      <c r="H15" s="495"/>
    </row>
    <row r="16" spans="1:8" ht="6.75" customHeight="1" x14ac:dyDescent="0.2">
      <c r="A16" s="274"/>
      <c r="B16" s="275" t="s">
        <v>2</v>
      </c>
      <c r="C16" s="275" t="s">
        <v>4</v>
      </c>
      <c r="D16" s="275" t="s">
        <v>3</v>
      </c>
      <c r="E16" s="1"/>
      <c r="F16" s="1"/>
      <c r="G16" s="1"/>
      <c r="H16" s="276"/>
    </row>
    <row r="17" spans="1:8" ht="14.1" customHeight="1" thickBot="1" x14ac:dyDescent="0.25">
      <c r="A17" s="470" t="s">
        <v>38</v>
      </c>
      <c r="B17" s="474"/>
      <c r="C17" s="474"/>
      <c r="D17" s="474"/>
      <c r="E17" s="474"/>
      <c r="F17" s="474"/>
      <c r="G17" s="474"/>
      <c r="H17" s="475"/>
    </row>
    <row r="18" spans="1:8" ht="14.25" thickBot="1" x14ac:dyDescent="0.25">
      <c r="A18" s="16" t="s">
        <v>36</v>
      </c>
      <c r="B18" s="19"/>
      <c r="C18" s="349"/>
      <c r="D18" s="349"/>
      <c r="E18" s="349"/>
      <c r="F18" s="349"/>
      <c r="G18" s="349"/>
      <c r="H18" s="16" t="s">
        <v>90</v>
      </c>
    </row>
    <row r="19" spans="1:8" ht="14.1" customHeight="1" x14ac:dyDescent="0.2">
      <c r="A19" s="14" t="s">
        <v>40</v>
      </c>
      <c r="B19" s="23"/>
      <c r="C19" s="20"/>
      <c r="D19" s="20"/>
      <c r="E19" s="20"/>
      <c r="F19" s="20"/>
      <c r="G19" s="347"/>
      <c r="H19" s="476" t="s">
        <v>45</v>
      </c>
    </row>
    <row r="20" spans="1:8" ht="14.1" customHeight="1" x14ac:dyDescent="0.2">
      <c r="A20" s="15" t="s">
        <v>21</v>
      </c>
      <c r="B20" s="24"/>
      <c r="C20" s="21"/>
      <c r="D20" s="21"/>
      <c r="E20" s="21"/>
      <c r="F20" s="21"/>
      <c r="G20" s="25"/>
      <c r="H20" s="477"/>
    </row>
    <row r="21" spans="1:8" ht="14.1" customHeight="1" x14ac:dyDescent="0.2">
      <c r="A21" s="15" t="s">
        <v>20</v>
      </c>
      <c r="B21" s="24"/>
      <c r="C21" s="21"/>
      <c r="D21" s="21"/>
      <c r="E21" s="21"/>
      <c r="F21" s="21"/>
      <c r="G21" s="25"/>
      <c r="H21" s="477"/>
    </row>
    <row r="22" spans="1:8" ht="14.1" customHeight="1" x14ac:dyDescent="0.2">
      <c r="A22" s="15" t="s">
        <v>22</v>
      </c>
      <c r="B22" s="350"/>
      <c r="C22" s="22"/>
      <c r="D22" s="22"/>
      <c r="E22" s="22"/>
      <c r="F22" s="22"/>
      <c r="G22" s="351"/>
      <c r="H22" s="479" t="s">
        <v>23</v>
      </c>
    </row>
    <row r="23" spans="1:8" ht="14.1" customHeight="1" x14ac:dyDescent="0.2">
      <c r="A23" s="15" t="s">
        <v>0</v>
      </c>
      <c r="B23" s="352">
        <f t="shared" ref="B23:G23" si="0">(0.5*B20+B21)*B22/100</f>
        <v>0</v>
      </c>
      <c r="C23" s="186">
        <f t="shared" si="0"/>
        <v>0</v>
      </c>
      <c r="D23" s="186">
        <f t="shared" si="0"/>
        <v>0</v>
      </c>
      <c r="E23" s="186">
        <f t="shared" si="0"/>
        <v>0</v>
      </c>
      <c r="F23" s="186">
        <f t="shared" si="0"/>
        <v>0</v>
      </c>
      <c r="G23" s="353">
        <f t="shared" si="0"/>
        <v>0</v>
      </c>
      <c r="H23" s="479" t="s">
        <v>312</v>
      </c>
    </row>
    <row r="24" spans="1:8" ht="14.1" customHeight="1" thickBot="1" x14ac:dyDescent="0.25">
      <c r="A24" s="478" t="s">
        <v>11</v>
      </c>
      <c r="B24" s="354">
        <f t="shared" ref="B24:G24" si="1">IF(B18 ="",IF(B19+B20+B21=0,0,IF(B23&gt;=10,$D$16,IF(B21+B20&lt;33,$B$16,$C$16))),B18)</f>
        <v>0</v>
      </c>
      <c r="C24" s="355">
        <f t="shared" si="1"/>
        <v>0</v>
      </c>
      <c r="D24" s="355">
        <f t="shared" si="1"/>
        <v>0</v>
      </c>
      <c r="E24" s="355">
        <f t="shared" si="1"/>
        <v>0</v>
      </c>
      <c r="F24" s="355">
        <f t="shared" si="1"/>
        <v>0</v>
      </c>
      <c r="G24" s="356">
        <f t="shared" si="1"/>
        <v>0</v>
      </c>
      <c r="H24" s="479" t="s">
        <v>39</v>
      </c>
    </row>
    <row r="25" spans="1:8" ht="6" customHeight="1" x14ac:dyDescent="0.2">
      <c r="A25" s="277"/>
      <c r="B25" s="203"/>
      <c r="C25" s="203"/>
      <c r="D25" s="203"/>
      <c r="E25" s="203"/>
      <c r="F25" s="203"/>
      <c r="G25" s="203"/>
      <c r="H25" s="214"/>
    </row>
    <row r="26" spans="1:8" ht="14.1" customHeight="1" thickBot="1" x14ac:dyDescent="0.25">
      <c r="A26" s="473" t="s">
        <v>24</v>
      </c>
      <c r="B26" s="474"/>
      <c r="C26" s="474"/>
      <c r="D26" s="474"/>
      <c r="E26" s="474"/>
      <c r="F26" s="474"/>
      <c r="G26" s="474"/>
      <c r="H26" s="475"/>
    </row>
    <row r="27" spans="1:8" ht="14.1" customHeight="1" x14ac:dyDescent="0.2">
      <c r="A27" s="17" t="s">
        <v>41</v>
      </c>
      <c r="B27" s="357"/>
      <c r="C27" s="20"/>
      <c r="D27" s="358"/>
      <c r="E27" s="358"/>
      <c r="F27" s="358"/>
      <c r="G27" s="358"/>
      <c r="H27" s="480" t="s">
        <v>47</v>
      </c>
    </row>
    <row r="28" spans="1:8" ht="14.1" customHeight="1" thickBot="1" x14ac:dyDescent="0.25">
      <c r="A28" s="2" t="s">
        <v>37</v>
      </c>
      <c r="B28" s="26"/>
      <c r="C28" s="31"/>
      <c r="D28" s="58"/>
      <c r="E28" s="58"/>
      <c r="F28" s="58"/>
      <c r="G28" s="58"/>
      <c r="H28" s="481"/>
    </row>
    <row r="29" spans="1:8" ht="12.6" customHeight="1" x14ac:dyDescent="0.2">
      <c r="A29" s="278"/>
      <c r="B29" s="5"/>
      <c r="C29" s="5"/>
      <c r="D29" s="5"/>
      <c r="E29" s="5"/>
      <c r="F29" s="5"/>
      <c r="G29" s="5"/>
      <c r="H29" s="214"/>
    </row>
    <row r="30" spans="1:8" ht="12.6" customHeight="1" thickBot="1" x14ac:dyDescent="0.25">
      <c r="A30" s="470" t="s">
        <v>262</v>
      </c>
      <c r="B30" s="471"/>
      <c r="C30" s="471"/>
      <c r="D30" s="471"/>
      <c r="E30" s="471"/>
      <c r="F30" s="471"/>
      <c r="G30" s="471"/>
      <c r="H30" s="472"/>
    </row>
    <row r="31" spans="1:8" ht="12.6" customHeight="1" thickBot="1" x14ac:dyDescent="0.25">
      <c r="A31" s="135" t="s">
        <v>260</v>
      </c>
      <c r="B31" s="359">
        <f>IF($B27="",ROUND(164.74*(1.1177^$B$28)*($B$28^0.6444),-1),B27)</f>
        <v>0</v>
      </c>
      <c r="C31" s="360">
        <f>IF(C27="",ROUND(164.74*(1.1177^C28)*(C28^0.6444),-1),C27)</f>
        <v>0</v>
      </c>
      <c r="D31" s="360">
        <f>IF(D27="",ROUND(164.74*(1.1177^D28)*(D28^0.6444),-1),D27)</f>
        <v>0</v>
      </c>
      <c r="E31" s="360">
        <f>IF(E27="",ROUND(164.74*(1.1177^E28)*(E28^0.6444),-1),E27)</f>
        <v>0</v>
      </c>
      <c r="F31" s="360">
        <f>IF(F27="",ROUND(164.74*(1.1177^F28)*(F28^0.6444),-1),F27)</f>
        <v>0</v>
      </c>
      <c r="G31" s="388">
        <f>IF(G27="",ROUND(164.74*(1.1177^G28)*(G28^0.6444),-1),G27)</f>
        <v>0</v>
      </c>
      <c r="H31" s="345" t="s">
        <v>261</v>
      </c>
    </row>
    <row r="32" spans="1:8" ht="14.1" customHeight="1" x14ac:dyDescent="0.2">
      <c r="A32" s="492" t="s">
        <v>29</v>
      </c>
      <c r="B32" s="23"/>
      <c r="C32" s="20"/>
      <c r="D32" s="20"/>
      <c r="E32" s="20"/>
      <c r="F32" s="20"/>
      <c r="G32" s="347"/>
      <c r="H32" s="488" t="s">
        <v>310</v>
      </c>
    </row>
    <row r="33" spans="1:8" ht="14.1" customHeight="1" x14ac:dyDescent="0.2">
      <c r="A33" s="486" t="s">
        <v>26</v>
      </c>
      <c r="B33" s="24"/>
      <c r="C33" s="21"/>
      <c r="D33" s="21"/>
      <c r="E33" s="21"/>
      <c r="F33" s="21"/>
      <c r="G33" s="25"/>
      <c r="H33" s="489"/>
    </row>
    <row r="34" spans="1:8" ht="14.1" customHeight="1" x14ac:dyDescent="0.2">
      <c r="A34" s="486" t="s">
        <v>27</v>
      </c>
      <c r="B34" s="24"/>
      <c r="C34" s="21"/>
      <c r="D34" s="21"/>
      <c r="E34" s="21"/>
      <c r="F34" s="21"/>
      <c r="G34" s="25"/>
      <c r="H34" s="489"/>
    </row>
    <row r="35" spans="1:8" ht="14.1" customHeight="1" x14ac:dyDescent="0.2">
      <c r="A35" s="486" t="s">
        <v>28</v>
      </c>
      <c r="B35" s="12">
        <f t="shared" ref="B35:G35" si="2">IF(AND(B33&gt;0,B34&gt;0),IF(B67&gt;4.57,IF(B34&lt;9,(B67/22.13)^B68*(10.8*B66+0.03),(B67/22.13)^B68*(16.8*B66-0.5)),IF(B34&gt;=9,10^(LOG10(((15/72.6)^B68*(16.8*B66-0.5))/((15/72.6)^B68*(3*B66^0.8+0.56)))*LOG10(B67/0.9144)/LOG10(5)+LOG10((15/72.6)^B68*(3*B66^0.8+0.56))),(10.8*B66+0.03)*(15/72.6)^B68)),0)</f>
        <v>0</v>
      </c>
      <c r="C35" s="13">
        <f t="shared" si="2"/>
        <v>0</v>
      </c>
      <c r="D35" s="13">
        <f t="shared" si="2"/>
        <v>0</v>
      </c>
      <c r="E35" s="13">
        <f t="shared" si="2"/>
        <v>0</v>
      </c>
      <c r="F35" s="13">
        <f t="shared" si="2"/>
        <v>0</v>
      </c>
      <c r="G35" s="361">
        <f t="shared" si="2"/>
        <v>0</v>
      </c>
      <c r="H35" s="489"/>
    </row>
    <row r="36" spans="1:8" ht="14.1" customHeight="1" x14ac:dyDescent="0.2">
      <c r="A36" s="486" t="s">
        <v>30</v>
      </c>
      <c r="B36" s="452">
        <v>1.3</v>
      </c>
      <c r="C36" s="453">
        <v>1.3</v>
      </c>
      <c r="D36" s="453">
        <v>1.3</v>
      </c>
      <c r="E36" s="453">
        <v>1.3</v>
      </c>
      <c r="F36" s="453">
        <v>1.3</v>
      </c>
      <c r="G36" s="454">
        <v>1.3</v>
      </c>
      <c r="H36" s="489"/>
    </row>
    <row r="37" spans="1:8" ht="14.1" customHeight="1" thickBot="1" x14ac:dyDescent="0.25">
      <c r="A37" s="487" t="s">
        <v>31</v>
      </c>
      <c r="B37" s="455">
        <v>1</v>
      </c>
      <c r="C37" s="456">
        <v>1</v>
      </c>
      <c r="D37" s="456">
        <v>1</v>
      </c>
      <c r="E37" s="456">
        <v>1</v>
      </c>
      <c r="F37" s="456">
        <v>1</v>
      </c>
      <c r="G37" s="457">
        <v>1</v>
      </c>
      <c r="H37" s="475"/>
    </row>
    <row r="38" spans="1:8" ht="6.75" customHeight="1" x14ac:dyDescent="0.2">
      <c r="A38" s="279"/>
      <c r="B38" s="199"/>
      <c r="C38" s="199"/>
      <c r="D38" s="199"/>
      <c r="E38" s="199"/>
      <c r="F38" s="199"/>
      <c r="G38" s="199"/>
      <c r="H38" s="215"/>
    </row>
    <row r="39" spans="1:8" ht="13.5" thickBot="1" x14ac:dyDescent="0.25">
      <c r="A39" s="470" t="s">
        <v>118</v>
      </c>
      <c r="B39" s="484"/>
      <c r="C39" s="484"/>
      <c r="D39" s="484"/>
      <c r="E39" s="484"/>
      <c r="F39" s="484"/>
      <c r="G39" s="484"/>
      <c r="H39" s="485"/>
    </row>
    <row r="40" spans="1:8" ht="14.1" customHeight="1" x14ac:dyDescent="0.2">
      <c r="A40" s="94" t="s">
        <v>32</v>
      </c>
      <c r="B40" s="414" t="str">
        <f t="shared" ref="B40:G40" si="3">IF(B32="","",B31*B32*B35*B36*B37)</f>
        <v/>
      </c>
      <c r="C40" s="10" t="str">
        <f t="shared" si="3"/>
        <v/>
      </c>
      <c r="D40" s="10" t="str">
        <f t="shared" si="3"/>
        <v/>
      </c>
      <c r="E40" s="10" t="str">
        <f t="shared" si="3"/>
        <v/>
      </c>
      <c r="F40" s="10" t="str">
        <f t="shared" si="3"/>
        <v/>
      </c>
      <c r="G40" s="415" t="str">
        <f t="shared" si="3"/>
        <v/>
      </c>
      <c r="H40" s="345"/>
    </row>
    <row r="41" spans="1:8" ht="14.1" customHeight="1" x14ac:dyDescent="0.2">
      <c r="A41" s="8" t="s">
        <v>10</v>
      </c>
      <c r="B41" s="416" t="str">
        <f t="shared" ref="B41:G41" si="4">IF(B40="","",IF(B40&gt;1500,"7",IF(B40&gt;=751,"6",IF(B40&gt;=501,"5",IF(B40&gt;=351,"4",IF(B40&gt;=226,"3",IF(B40&gt;=151,"2",IF(B40&gt;0,"1",0))))))))</f>
        <v/>
      </c>
      <c r="C41" s="9" t="str">
        <f t="shared" si="4"/>
        <v/>
      </c>
      <c r="D41" s="9" t="str">
        <f t="shared" si="4"/>
        <v/>
      </c>
      <c r="E41" s="9" t="str">
        <f t="shared" si="4"/>
        <v/>
      </c>
      <c r="F41" s="9" t="str">
        <f t="shared" si="4"/>
        <v/>
      </c>
      <c r="G41" s="417" t="str">
        <f t="shared" si="4"/>
        <v/>
      </c>
      <c r="H41" s="11" t="s">
        <v>313</v>
      </c>
    </row>
    <row r="42" spans="1:8" ht="14.1" customHeight="1" x14ac:dyDescent="0.2">
      <c r="A42" s="3" t="s">
        <v>33</v>
      </c>
      <c r="B42" s="418" t="str">
        <f t="shared" ref="B42:G42" si="5">IF(B40="","",B40/1.3)</f>
        <v/>
      </c>
      <c r="C42" s="4" t="str">
        <f t="shared" si="5"/>
        <v/>
      </c>
      <c r="D42" s="4" t="str">
        <f t="shared" si="5"/>
        <v/>
      </c>
      <c r="E42" s="4" t="str">
        <f t="shared" si="5"/>
        <v/>
      </c>
      <c r="F42" s="4" t="str">
        <f t="shared" si="5"/>
        <v/>
      </c>
      <c r="G42" s="419" t="str">
        <f t="shared" si="5"/>
        <v/>
      </c>
      <c r="H42" s="389" t="s">
        <v>169</v>
      </c>
    </row>
    <row r="43" spans="1:8" ht="14.1" customHeight="1" thickBot="1" x14ac:dyDescent="0.25">
      <c r="A43" s="97" t="s">
        <v>119</v>
      </c>
      <c r="B43" s="371" t="str">
        <f t="shared" ref="B43:F43" si="6">IF(B14="","",IF(B14&gt;1,IF(B40&gt;75,"Yes","No"),IF(B14&gt;0.25,IF(B40&gt;150,"Yes","No"),"No")))</f>
        <v/>
      </c>
      <c r="C43" s="98" t="str">
        <f t="shared" si="6"/>
        <v/>
      </c>
      <c r="D43" s="98" t="str">
        <f t="shared" si="6"/>
        <v/>
      </c>
      <c r="E43" s="98" t="str">
        <f t="shared" si="6"/>
        <v/>
      </c>
      <c r="F43" s="98" t="str">
        <f t="shared" si="6"/>
        <v/>
      </c>
      <c r="G43" s="390" t="str">
        <f>IF(G14="","",IF(G14&gt;1,IF(G40&gt;75,"Yes","No"),IF(G14&gt;0.25,IF(G40&gt;150,"Yes","No"),"No")))</f>
        <v/>
      </c>
      <c r="H43" s="387" t="s">
        <v>311</v>
      </c>
    </row>
    <row r="44" spans="1:8" x14ac:dyDescent="0.2">
      <c r="A44" s="274"/>
      <c r="H44" s="280"/>
    </row>
    <row r="45" spans="1:8" ht="22.5" customHeight="1" x14ac:dyDescent="0.2">
      <c r="A45" s="490" t="s">
        <v>203</v>
      </c>
      <c r="B45" s="491"/>
      <c r="C45" s="491"/>
      <c r="D45" s="491"/>
      <c r="E45" s="491"/>
      <c r="F45" s="491"/>
      <c r="G45" s="491"/>
      <c r="H45" s="280"/>
    </row>
    <row r="46" spans="1:8" ht="14.1" customHeight="1" thickBot="1" x14ac:dyDescent="0.25">
      <c r="A46" s="482" t="s">
        <v>102</v>
      </c>
      <c r="B46" s="483"/>
      <c r="H46" s="280"/>
    </row>
    <row r="47" spans="1:8" ht="14.1" customHeight="1" x14ac:dyDescent="0.25">
      <c r="A47" s="105" t="s">
        <v>95</v>
      </c>
      <c r="B47" s="314"/>
      <c r="C47" s="314"/>
      <c r="D47" s="314"/>
      <c r="E47" s="314"/>
      <c r="F47" s="314"/>
      <c r="G47" s="314"/>
      <c r="H47" s="101" t="s">
        <v>120</v>
      </c>
    </row>
    <row r="48" spans="1:8" ht="14.1" customHeight="1" x14ac:dyDescent="0.25">
      <c r="A48" s="100" t="s">
        <v>99</v>
      </c>
      <c r="B48" s="315"/>
      <c r="C48" s="315"/>
      <c r="D48" s="315"/>
      <c r="E48" s="315"/>
      <c r="F48" s="315"/>
      <c r="G48" s="315"/>
      <c r="H48" s="103" t="s">
        <v>121</v>
      </c>
    </row>
    <row r="49" spans="1:10" ht="14.1" customHeight="1" x14ac:dyDescent="0.25">
      <c r="A49" s="100" t="s">
        <v>122</v>
      </c>
      <c r="B49" s="315"/>
      <c r="C49" s="315"/>
      <c r="D49" s="315"/>
      <c r="E49" s="315"/>
      <c r="F49" s="315"/>
      <c r="G49" s="315"/>
      <c r="H49" s="104" t="s">
        <v>123</v>
      </c>
    </row>
    <row r="50" spans="1:10" ht="14.25" thickBot="1" x14ac:dyDescent="0.3">
      <c r="A50" s="30" t="s">
        <v>209</v>
      </c>
      <c r="B50" s="313"/>
      <c r="C50" s="313"/>
      <c r="D50" s="313"/>
      <c r="E50" s="313"/>
      <c r="F50" s="313"/>
      <c r="G50" s="313"/>
      <c r="H50" s="102" t="s">
        <v>314</v>
      </c>
    </row>
    <row r="51" spans="1:10" ht="14.25" thickBot="1" x14ac:dyDescent="0.3">
      <c r="A51" s="200" t="s">
        <v>101</v>
      </c>
      <c r="B51" s="73" t="str">
        <f t="shared" ref="B51:G51" si="7">IF(B43="Yes",IF(B48="Yes",IF(B49="Yes","C",IF(B50="No","D",IF(B47="&gt; 12 months","A","B"))),IF(B50="No","D",IF(B47="&gt; 12 months","A","B"))),"N/A")</f>
        <v>N/A</v>
      </c>
      <c r="C51" s="73" t="str">
        <f t="shared" si="7"/>
        <v>N/A</v>
      </c>
      <c r="D51" s="73" t="str">
        <f t="shared" si="7"/>
        <v>N/A</v>
      </c>
      <c r="E51" s="73" t="str">
        <f t="shared" si="7"/>
        <v>N/A</v>
      </c>
      <c r="F51" s="73" t="str">
        <f t="shared" si="7"/>
        <v>N/A</v>
      </c>
      <c r="G51" s="73" t="str">
        <f t="shared" si="7"/>
        <v>N/A</v>
      </c>
      <c r="H51" s="97" t="s">
        <v>315</v>
      </c>
    </row>
    <row r="52" spans="1:10" ht="13.5" x14ac:dyDescent="0.25">
      <c r="A52" s="332"/>
      <c r="B52" s="330"/>
      <c r="C52" s="330"/>
      <c r="D52" s="330"/>
      <c r="E52" s="330"/>
      <c r="F52" s="330"/>
      <c r="G52" s="330"/>
      <c r="H52" s="287" t="str">
        <f>"Version "&amp;Information!B13</f>
        <v>Version 5.9</v>
      </c>
    </row>
    <row r="53" spans="1:10" x14ac:dyDescent="0.2">
      <c r="A53"/>
    </row>
    <row r="54" spans="1:10" x14ac:dyDescent="0.2">
      <c r="A54"/>
    </row>
    <row r="55" spans="1:10" x14ac:dyDescent="0.2">
      <c r="A55"/>
    </row>
    <row r="56" spans="1:10" x14ac:dyDescent="0.2">
      <c r="A56"/>
    </row>
    <row r="63" spans="1:10" x14ac:dyDescent="0.2">
      <c r="A63" s="99"/>
      <c r="B63" s="93"/>
      <c r="C63" s="93"/>
      <c r="D63" s="93"/>
      <c r="E63" s="93"/>
      <c r="F63" s="93"/>
      <c r="G63" s="93"/>
      <c r="H63" s="93"/>
      <c r="I63" s="93"/>
      <c r="J63" s="93"/>
    </row>
    <row r="64" spans="1:10" x14ac:dyDescent="0.2">
      <c r="A64" s="99"/>
      <c r="B64" s="93"/>
      <c r="C64" s="93"/>
      <c r="D64" s="93"/>
      <c r="E64" s="93"/>
      <c r="F64" s="93"/>
      <c r="G64" s="93"/>
      <c r="H64" s="93"/>
      <c r="I64" s="93"/>
      <c r="J64" s="93"/>
    </row>
    <row r="65" spans="1:10" x14ac:dyDescent="0.2">
      <c r="A65" s="99"/>
      <c r="B65" s="93"/>
      <c r="C65" s="93"/>
      <c r="D65" s="93"/>
      <c r="E65" s="93"/>
      <c r="F65" s="93"/>
      <c r="G65" s="145"/>
      <c r="H65" s="145"/>
      <c r="I65" s="93"/>
      <c r="J65" s="93"/>
    </row>
    <row r="66" spans="1:10" ht="14.25" customHeight="1" x14ac:dyDescent="0.2">
      <c r="A66" s="217"/>
      <c r="B66" s="147">
        <f t="shared" ref="B66:G66" si="8">SIN(ATAN(B34/100))</f>
        <v>0</v>
      </c>
      <c r="C66" s="147">
        <f t="shared" si="8"/>
        <v>0</v>
      </c>
      <c r="D66" s="147">
        <f t="shared" si="8"/>
        <v>0</v>
      </c>
      <c r="E66" s="147">
        <f t="shared" si="8"/>
        <v>0</v>
      </c>
      <c r="F66" s="147">
        <f t="shared" si="8"/>
        <v>0</v>
      </c>
      <c r="G66" s="147">
        <f t="shared" si="8"/>
        <v>0</v>
      </c>
      <c r="H66" s="145"/>
      <c r="I66" s="93"/>
      <c r="J66" s="93"/>
    </row>
    <row r="67" spans="1:10" x14ac:dyDescent="0.2">
      <c r="A67" s="217"/>
      <c r="B67" s="147">
        <f t="shared" ref="B67:G67" si="9">B33*COS(ATAN(B34/100))</f>
        <v>0</v>
      </c>
      <c r="C67" s="147">
        <f t="shared" si="9"/>
        <v>0</v>
      </c>
      <c r="D67" s="147">
        <f t="shared" si="9"/>
        <v>0</v>
      </c>
      <c r="E67" s="147">
        <f t="shared" si="9"/>
        <v>0</v>
      </c>
      <c r="F67" s="147">
        <f t="shared" si="9"/>
        <v>0</v>
      </c>
      <c r="G67" s="147">
        <f t="shared" si="9"/>
        <v>0</v>
      </c>
      <c r="H67" s="145"/>
      <c r="I67" s="93"/>
      <c r="J67" s="93"/>
    </row>
    <row r="68" spans="1:10" x14ac:dyDescent="0.2">
      <c r="A68" s="217"/>
      <c r="B68" s="147">
        <f t="shared" ref="B68:G68" si="10">(2*(B66/0.0896)/(3*B66^0.8+0.56)/(1+(2*(B66/0.0896)/(3*B66^0.8+0.56))))</f>
        <v>0</v>
      </c>
      <c r="C68" s="147">
        <f t="shared" si="10"/>
        <v>0</v>
      </c>
      <c r="D68" s="147">
        <f t="shared" si="10"/>
        <v>0</v>
      </c>
      <c r="E68" s="147">
        <f t="shared" si="10"/>
        <v>0</v>
      </c>
      <c r="F68" s="147">
        <f t="shared" si="10"/>
        <v>0</v>
      </c>
      <c r="G68" s="147">
        <f t="shared" si="10"/>
        <v>0</v>
      </c>
      <c r="H68" s="145"/>
      <c r="I68" s="93"/>
      <c r="J68" s="93"/>
    </row>
    <row r="69" spans="1:10" x14ac:dyDescent="0.2">
      <c r="A69" s="218"/>
      <c r="B69" s="145"/>
      <c r="C69" s="145"/>
      <c r="D69" s="145"/>
      <c r="E69" s="145"/>
      <c r="F69" s="145"/>
      <c r="G69" s="145"/>
      <c r="H69" s="145"/>
      <c r="I69" s="93"/>
      <c r="J69" s="93"/>
    </row>
    <row r="70" spans="1:10" x14ac:dyDescent="0.2">
      <c r="A70" s="218"/>
      <c r="B70" s="145"/>
      <c r="C70" s="145"/>
      <c r="D70" s="145"/>
      <c r="E70" s="145"/>
      <c r="F70" s="145"/>
      <c r="G70" s="145"/>
      <c r="H70" s="145"/>
      <c r="I70" s="93"/>
      <c r="J70" s="93"/>
    </row>
    <row r="71" spans="1:10" x14ac:dyDescent="0.2">
      <c r="A71" s="218"/>
      <c r="B71" s="145" t="s">
        <v>96</v>
      </c>
      <c r="C71" s="145"/>
      <c r="D71" s="145" t="s">
        <v>100</v>
      </c>
      <c r="E71" s="145"/>
      <c r="F71" s="145"/>
      <c r="G71" s="145"/>
      <c r="H71" s="145"/>
      <c r="I71" s="93"/>
      <c r="J71" s="93"/>
    </row>
    <row r="72" spans="1:10" x14ac:dyDescent="0.2">
      <c r="A72" s="218"/>
      <c r="B72" s="145"/>
      <c r="C72" s="145"/>
      <c r="D72" s="145"/>
      <c r="E72" s="145"/>
      <c r="F72" s="145"/>
      <c r="G72" s="145"/>
      <c r="H72" s="93"/>
      <c r="I72" s="93"/>
      <c r="J72" s="93"/>
    </row>
    <row r="73" spans="1:10" x14ac:dyDescent="0.2">
      <c r="A73" s="218"/>
      <c r="B73" s="145" t="s">
        <v>97</v>
      </c>
      <c r="C73" s="145"/>
      <c r="D73" s="145" t="s">
        <v>93</v>
      </c>
      <c r="E73" s="145"/>
      <c r="F73" s="145"/>
      <c r="G73" s="145"/>
      <c r="H73" s="93"/>
      <c r="I73" s="93"/>
      <c r="J73" s="93"/>
    </row>
    <row r="74" spans="1:10" x14ac:dyDescent="0.2">
      <c r="A74" s="218"/>
      <c r="B74" s="145" t="s">
        <v>98</v>
      </c>
      <c r="C74" s="145"/>
      <c r="D74" s="145" t="s">
        <v>94</v>
      </c>
      <c r="E74" s="145"/>
      <c r="F74" s="145"/>
      <c r="G74" s="145"/>
      <c r="H74" s="93"/>
      <c r="I74" s="93"/>
      <c r="J74" s="93"/>
    </row>
    <row r="75" spans="1:10" x14ac:dyDescent="0.2">
      <c r="A75" s="218"/>
      <c r="B75" s="145"/>
      <c r="C75" s="145"/>
      <c r="D75" s="145"/>
      <c r="E75" s="145"/>
      <c r="F75" s="145"/>
      <c r="G75" s="145"/>
      <c r="H75" s="93"/>
      <c r="I75" s="93"/>
      <c r="J75" s="93"/>
    </row>
    <row r="76" spans="1:10" x14ac:dyDescent="0.2">
      <c r="A76" s="218"/>
      <c r="B76" s="145"/>
      <c r="C76" s="145"/>
      <c r="D76" s="145"/>
      <c r="E76" s="145"/>
      <c r="F76" s="145"/>
      <c r="G76" s="145"/>
      <c r="H76" s="93"/>
      <c r="I76" s="93"/>
      <c r="J76" s="93"/>
    </row>
    <row r="77" spans="1:10" x14ac:dyDescent="0.2">
      <c r="A77" s="218"/>
      <c r="B77" s="145"/>
      <c r="C77" s="145"/>
      <c r="D77" s="145"/>
      <c r="E77" s="145"/>
      <c r="F77" s="145"/>
      <c r="G77" s="145"/>
      <c r="H77" s="93"/>
      <c r="I77" s="93"/>
      <c r="J77" s="93"/>
    </row>
  </sheetData>
  <sheetProtection algorithmName="SHA-512" hashValue="biGK8HWg8pU2TNcdcBT5vRo+7NIqio9iXIAKzs59fFRBaSeftT9avbTt/TEcMAA10FJ61RKTV+YOjkuZ8/WyZA==" saltValue="S8sMaEuWKKM0Uc5WIv4KLg==" spinCount="100000" sheet="1" formatColumns="0" selectLockedCells="1"/>
  <mergeCells count="41">
    <mergeCell ref="A9"/>
    <mergeCell ref="B12:G12"/>
    <mergeCell ref="H15"/>
    <mergeCell ref="A15"/>
    <mergeCell ref="A11"/>
    <mergeCell ref="B9:H11"/>
    <mergeCell ref="A10"/>
    <mergeCell ref="A12:A13"/>
    <mergeCell ref="H12:H13"/>
    <mergeCell ref="H14"/>
    <mergeCell ref="A14"/>
    <mergeCell ref="A46:B46"/>
    <mergeCell ref="A39:H39"/>
    <mergeCell ref="A35"/>
    <mergeCell ref="A36"/>
    <mergeCell ref="A37"/>
    <mergeCell ref="H32:H37"/>
    <mergeCell ref="A45:G45"/>
    <mergeCell ref="A33"/>
    <mergeCell ref="A34"/>
    <mergeCell ref="A32"/>
    <mergeCell ref="A30:H30"/>
    <mergeCell ref="A26:H26"/>
    <mergeCell ref="H19:H21"/>
    <mergeCell ref="A24"/>
    <mergeCell ref="A17:H17"/>
    <mergeCell ref="H23"/>
    <mergeCell ref="H24"/>
    <mergeCell ref="H27:H28"/>
    <mergeCell ref="H22"/>
    <mergeCell ref="B5:H6"/>
    <mergeCell ref="A6"/>
    <mergeCell ref="A5"/>
    <mergeCell ref="B7:H8"/>
    <mergeCell ref="A8"/>
    <mergeCell ref="A7"/>
    <mergeCell ref="A1:H1"/>
    <mergeCell ref="A2:H2"/>
    <mergeCell ref="B3:H4"/>
    <mergeCell ref="A3"/>
    <mergeCell ref="A4"/>
  </mergeCells>
  <phoneticPr fontId="18" type="noConversion"/>
  <dataValidations xWindow="266" yWindow="769" count="4">
    <dataValidation type="decimal" allowBlank="1" showInputMessage="1" showErrorMessage="1" error="Range is 1 to 300." promptTitle="Slope Length" prompt="Enter length, measured parallel to the surface, in metres." sqref="B33:G33" xr:uid="{BC4FFF92-A582-4033-8CA5-98EEB8B49AF4}">
      <formula1>1</formula1>
      <formula2>300</formula2>
    </dataValidation>
    <dataValidation type="decimal" allowBlank="1" showInputMessage="1" showErrorMessage="1" error="Range is 0.2 to 100." promptTitle="Slope Gradient" prompt="Enter slope as percent." sqref="B34:G34" xr:uid="{C9CA88D1-0233-47C6-9B45-D9520BAAA5A0}">
      <formula1>0.2</formula1>
      <formula2>100</formula2>
    </dataValidation>
    <dataValidation type="list" allowBlank="1" showInputMessage="1" showErrorMessage="1" sqref="B48:G50" xr:uid="{ABD45081-195F-4FB5-98BB-0232EE3CF2C1}">
      <formula1>$D$72:$D$74</formula1>
    </dataValidation>
    <dataValidation type="list" allowBlank="1" showInputMessage="1" showErrorMessage="1" sqref="B47:G47" xr:uid="{09E6BCC8-C4C1-4186-93CF-18EC2A48DC4A}">
      <formula1>$B$72:$B$74</formula1>
    </dataValidation>
  </dataValidations>
  <pageMargins left="0.74803149606299213" right="0.74803149606299213" top="0.98425196850393704" bottom="0.98425196850393704" header="0.51181102362204722" footer="0.51181102362204722"/>
  <pageSetup paperSize="9" scale="74" orientation="portrait" verticalDpi="300" r:id="rId1"/>
  <headerFooter alignWithMargins="0"/>
  <rowBreaks count="1" manualBreakCount="1">
    <brk id="5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AC11C-9F9B-44B6-9394-C8A9BC0550B1}">
  <sheetPr codeName="Sheet3">
    <pageSetUpPr fitToPage="1"/>
  </sheetPr>
  <dimension ref="A1:V59"/>
  <sheetViews>
    <sheetView showZeros="0" view="pageBreakPreview" zoomScaleNormal="100" zoomScaleSheetLayoutView="100" workbookViewId="0">
      <selection activeCell="C43" sqref="C43:E44"/>
    </sheetView>
  </sheetViews>
  <sheetFormatPr defaultRowHeight="12.75" x14ac:dyDescent="0.2"/>
  <cols>
    <col min="1" max="1" width="10.85546875" customWidth="1"/>
    <col min="2" max="2" width="19.140625" customWidth="1"/>
    <col min="3" max="8" width="10.7109375" customWidth="1"/>
    <col min="9" max="9" width="8.7109375" customWidth="1"/>
    <col min="10" max="10" width="8.42578125" customWidth="1"/>
    <col min="11" max="11" width="23.42578125" customWidth="1"/>
    <col min="12" max="12" width="39.85546875" customWidth="1"/>
    <col min="13" max="13" width="39.140625" customWidth="1"/>
    <col min="14" max="14" width="26.5703125" customWidth="1"/>
    <col min="15" max="15" width="78" customWidth="1"/>
    <col min="16" max="16" width="41.5703125" bestFit="1" customWidth="1"/>
  </cols>
  <sheetData>
    <row r="1" spans="1:21" ht="24.75" customHeight="1" x14ac:dyDescent="0.25">
      <c r="A1" s="530" t="s">
        <v>204</v>
      </c>
      <c r="B1" s="531"/>
      <c r="C1" s="531"/>
      <c r="D1" s="531"/>
      <c r="E1" s="531"/>
      <c r="F1" s="531"/>
      <c r="M1" s="145"/>
      <c r="N1" s="145"/>
      <c r="O1" s="145"/>
      <c r="P1" s="145" t="s">
        <v>103</v>
      </c>
      <c r="Q1" s="145"/>
      <c r="R1" s="145"/>
      <c r="S1" s="145"/>
      <c r="T1" s="145"/>
      <c r="U1" s="145"/>
    </row>
    <row r="2" spans="1:21" ht="9.75" customHeight="1" thickBot="1" x14ac:dyDescent="0.3">
      <c r="B2" s="57"/>
      <c r="M2" s="145"/>
      <c r="N2" s="145"/>
      <c r="O2" s="145"/>
      <c r="P2" s="145"/>
      <c r="Q2" s="145"/>
      <c r="R2" s="145"/>
      <c r="S2" s="145"/>
      <c r="T2" s="145"/>
      <c r="U2" s="145"/>
    </row>
    <row r="3" spans="1:21" ht="13.5" thickBot="1" x14ac:dyDescent="0.25">
      <c r="A3" s="111"/>
      <c r="B3" s="112"/>
      <c r="C3" s="536" t="s">
        <v>43</v>
      </c>
      <c r="D3" s="537"/>
      <c r="E3" s="537"/>
      <c r="F3" s="537"/>
      <c r="G3" s="537"/>
      <c r="H3" s="538"/>
      <c r="I3" s="544" t="s">
        <v>44</v>
      </c>
      <c r="J3" s="545"/>
      <c r="K3" s="546"/>
      <c r="M3" s="145"/>
      <c r="N3" s="145"/>
      <c r="O3" s="145"/>
      <c r="P3" s="145" t="s">
        <v>105</v>
      </c>
      <c r="Q3" s="145"/>
      <c r="R3" s="145"/>
      <c r="S3" s="145"/>
      <c r="T3" s="145"/>
      <c r="U3" s="145"/>
    </row>
    <row r="4" spans="1:21" ht="13.5" customHeight="1" thickBot="1" x14ac:dyDescent="0.25">
      <c r="A4" s="470" t="s">
        <v>130</v>
      </c>
      <c r="B4" s="541"/>
      <c r="C4" s="309"/>
      <c r="D4" s="312"/>
      <c r="E4" s="312"/>
      <c r="F4" s="312"/>
      <c r="G4" s="312"/>
      <c r="H4" s="319"/>
      <c r="I4" s="547" t="s">
        <v>362</v>
      </c>
      <c r="J4" s="548"/>
      <c r="K4" s="549"/>
      <c r="M4" s="145"/>
      <c r="N4" s="145"/>
      <c r="O4" s="145"/>
      <c r="P4" s="145" t="s">
        <v>104</v>
      </c>
      <c r="Q4" s="145"/>
      <c r="R4" s="145"/>
      <c r="S4" s="145"/>
      <c r="T4" s="145"/>
      <c r="U4" s="145"/>
    </row>
    <row r="5" spans="1:21" ht="13.5" x14ac:dyDescent="0.25">
      <c r="A5" s="532" t="s">
        <v>103</v>
      </c>
      <c r="B5" s="533"/>
      <c r="C5" s="316"/>
      <c r="D5" s="317"/>
      <c r="E5" s="318"/>
      <c r="F5" s="318"/>
      <c r="G5" s="318"/>
      <c r="H5" s="320"/>
      <c r="I5" s="542" t="s">
        <v>208</v>
      </c>
      <c r="J5" s="542"/>
      <c r="K5" s="543"/>
      <c r="M5" s="145"/>
      <c r="N5" s="145"/>
      <c r="O5" s="145"/>
      <c r="P5" s="145"/>
      <c r="Q5" s="145"/>
      <c r="R5" s="145"/>
      <c r="S5" s="145"/>
      <c r="T5" s="145"/>
      <c r="U5" s="145"/>
    </row>
    <row r="6" spans="1:21" ht="13.5" x14ac:dyDescent="0.25">
      <c r="A6" s="534" t="s">
        <v>211</v>
      </c>
      <c r="B6" s="535"/>
      <c r="C6" s="180" t="str">
        <f t="shared" ref="C6:H6" si="0">IF(C5="","",IF(C5="Short-term",1,5))</f>
        <v/>
      </c>
      <c r="D6" s="150" t="str">
        <f t="shared" si="0"/>
        <v/>
      </c>
      <c r="E6" s="150" t="str">
        <f t="shared" si="0"/>
        <v/>
      </c>
      <c r="F6" s="150" t="str">
        <f t="shared" si="0"/>
        <v/>
      </c>
      <c r="G6" s="150" t="str">
        <f t="shared" si="0"/>
        <v/>
      </c>
      <c r="H6" s="181" t="str">
        <f t="shared" si="0"/>
        <v/>
      </c>
      <c r="I6" s="539" t="s">
        <v>316</v>
      </c>
      <c r="J6" s="539"/>
      <c r="K6" s="540"/>
      <c r="M6" s="145"/>
      <c r="N6" s="145"/>
      <c r="O6" s="145"/>
      <c r="P6" s="145" t="s">
        <v>125</v>
      </c>
      <c r="Q6" s="145"/>
      <c r="R6" s="145"/>
      <c r="S6" s="145"/>
      <c r="T6" s="145"/>
      <c r="U6" s="145"/>
    </row>
    <row r="7" spans="1:21" ht="13.5" x14ac:dyDescent="0.25">
      <c r="A7" s="132" t="s">
        <v>304</v>
      </c>
      <c r="B7" s="127"/>
      <c r="C7" s="329"/>
      <c r="D7" s="362"/>
      <c r="E7" s="362"/>
      <c r="F7" s="362"/>
      <c r="G7" s="362"/>
      <c r="H7" s="202"/>
      <c r="I7" s="539" t="s">
        <v>317</v>
      </c>
      <c r="J7" s="539"/>
      <c r="K7" s="540"/>
      <c r="M7" s="145"/>
      <c r="N7" s="145"/>
      <c r="O7" s="145"/>
      <c r="P7" s="146" t="s">
        <v>124</v>
      </c>
      <c r="Q7" s="146" t="s">
        <v>107</v>
      </c>
      <c r="R7" s="145"/>
      <c r="S7" s="145"/>
      <c r="T7" s="145"/>
      <c r="U7" s="145"/>
    </row>
    <row r="8" spans="1:21" ht="13.5" x14ac:dyDescent="0.25">
      <c r="A8" s="550" t="s">
        <v>303</v>
      </c>
      <c r="B8" s="551"/>
      <c r="C8" s="180" t="str">
        <f>IF(C4="","",HLOOKUP(C4,'1. Erosion Haz + Basins'!$B$13:$G$14,2,FALSE))</f>
        <v/>
      </c>
      <c r="D8" s="150" t="str">
        <f>IF(D4="","",HLOOKUP(D4,'1. Erosion Haz + Basins'!$B$13:$G$14,2,FALSE))</f>
        <v/>
      </c>
      <c r="E8" s="150" t="str">
        <f>IF(E4="","",HLOOKUP(E4,'1. Erosion Haz + Basins'!$B$13:$G$14,2,FALSE))</f>
        <v/>
      </c>
      <c r="F8" s="150" t="str">
        <f>IF(F4="","",HLOOKUP(F4,'1. Erosion Haz + Basins'!$B$13:$G$14,2,FALSE))</f>
        <v/>
      </c>
      <c r="G8" s="150" t="str">
        <f>IF(G4="","",HLOOKUP(G4,'1. Erosion Haz + Basins'!$B$13:$G$14,2,FALSE))</f>
        <v/>
      </c>
      <c r="H8" s="181" t="str">
        <f>IF(H4="","",HLOOKUP(H4,'1. Erosion Haz + Basins'!$B$13:$G$14,2,FALSE))</f>
        <v/>
      </c>
      <c r="I8" s="539" t="s">
        <v>318</v>
      </c>
      <c r="J8" s="539"/>
      <c r="K8" s="540"/>
      <c r="M8" s="145"/>
      <c r="N8" s="145"/>
      <c r="O8" s="145"/>
      <c r="P8" s="145"/>
      <c r="Q8" s="145"/>
      <c r="R8" s="145"/>
      <c r="S8" s="145"/>
      <c r="T8" s="145"/>
      <c r="U8" s="145"/>
    </row>
    <row r="9" spans="1:21" ht="13.5" x14ac:dyDescent="0.25">
      <c r="A9" s="550" t="s">
        <v>215</v>
      </c>
      <c r="B9" s="551"/>
      <c r="C9" s="288"/>
      <c r="D9" s="75"/>
      <c r="E9" s="75"/>
      <c r="F9" s="75"/>
      <c r="G9" s="75"/>
      <c r="H9" s="202"/>
      <c r="I9" s="511" t="s">
        <v>319</v>
      </c>
      <c r="J9" s="511"/>
      <c r="K9" s="505"/>
      <c r="M9" s="145"/>
      <c r="N9" s="145"/>
      <c r="O9" s="145"/>
      <c r="P9" s="145"/>
      <c r="Q9" s="145"/>
      <c r="R9" s="145"/>
      <c r="S9" s="145"/>
      <c r="T9" s="145"/>
      <c r="U9" s="145"/>
    </row>
    <row r="10" spans="1:21" ht="13.5" x14ac:dyDescent="0.25">
      <c r="A10" s="550" t="s">
        <v>216</v>
      </c>
      <c r="B10" s="551"/>
      <c r="C10" s="180" t="str">
        <f t="shared" ref="C10:H10" si="1">IF(C9="","",IF(C9&gt;9,IF(C6=1,0.684*((C9/1000)^-0.675),1.159*((C9/1000)^-0.604)),VLOOKUP(C9,$P$17:$S$24,IF(C6=1,2,IF(C6=2,3,4)))))</f>
        <v/>
      </c>
      <c r="D10" s="150" t="str">
        <f t="shared" si="1"/>
        <v/>
      </c>
      <c r="E10" s="150" t="str">
        <f t="shared" si="1"/>
        <v/>
      </c>
      <c r="F10" s="150" t="str">
        <f t="shared" si="1"/>
        <v/>
      </c>
      <c r="G10" s="150" t="str">
        <f t="shared" si="1"/>
        <v/>
      </c>
      <c r="H10" s="181" t="str">
        <f t="shared" si="1"/>
        <v/>
      </c>
      <c r="I10" s="511" t="s">
        <v>320</v>
      </c>
      <c r="J10" s="511"/>
      <c r="K10" s="505"/>
      <c r="M10" s="145"/>
      <c r="N10" s="145"/>
      <c r="O10" s="145"/>
      <c r="P10" s="145"/>
      <c r="Q10" s="145"/>
      <c r="R10" s="145"/>
      <c r="S10" s="145"/>
      <c r="T10" s="145"/>
      <c r="U10" s="145"/>
    </row>
    <row r="11" spans="1:21" ht="13.5" x14ac:dyDescent="0.25">
      <c r="A11" s="550" t="s">
        <v>210</v>
      </c>
      <c r="B11" s="551"/>
      <c r="C11" s="288"/>
      <c r="D11" s="75"/>
      <c r="E11" s="75"/>
      <c r="F11" s="75"/>
      <c r="G11" s="75"/>
      <c r="H11" s="202"/>
      <c r="I11" s="511" t="s">
        <v>212</v>
      </c>
      <c r="J11" s="511"/>
      <c r="K11" s="505"/>
      <c r="M11" s="145"/>
      <c r="N11" s="145"/>
      <c r="O11" s="145"/>
      <c r="P11" s="145"/>
      <c r="Q11" s="145"/>
      <c r="R11" s="145"/>
      <c r="S11" s="145"/>
      <c r="T11" s="145"/>
      <c r="U11" s="145"/>
    </row>
    <row r="12" spans="1:21" ht="13.5" x14ac:dyDescent="0.25">
      <c r="A12" s="526" t="s">
        <v>263</v>
      </c>
      <c r="B12" s="528"/>
      <c r="C12" s="288"/>
      <c r="D12" s="75"/>
      <c r="E12" s="75"/>
      <c r="F12" s="75"/>
      <c r="G12" s="75"/>
      <c r="H12" s="202"/>
      <c r="I12" s="527" t="s">
        <v>321</v>
      </c>
      <c r="J12" s="527"/>
      <c r="K12" s="528"/>
      <c r="M12" s="145"/>
      <c r="N12" s="145"/>
      <c r="O12" s="145"/>
      <c r="P12" s="145"/>
      <c r="Q12" s="145"/>
      <c r="R12" s="145"/>
      <c r="S12" s="145"/>
      <c r="T12" s="145"/>
      <c r="U12" s="145"/>
    </row>
    <row r="13" spans="1:21" ht="13.5" x14ac:dyDescent="0.25">
      <c r="A13" s="504" t="s">
        <v>231</v>
      </c>
      <c r="B13" s="505"/>
      <c r="C13" s="180" t="str">
        <f t="shared" ref="C13:H13" si="2">IF(C12="","",VLOOKUP(C12,$O$31:$P$36,2,FALSE))</f>
        <v/>
      </c>
      <c r="D13" s="150" t="str">
        <f t="shared" si="2"/>
        <v/>
      </c>
      <c r="E13" s="150" t="str">
        <f t="shared" si="2"/>
        <v/>
      </c>
      <c r="F13" s="150" t="str">
        <f t="shared" si="2"/>
        <v/>
      </c>
      <c r="G13" s="150" t="str">
        <f t="shared" si="2"/>
        <v/>
      </c>
      <c r="H13" s="181" t="str">
        <f t="shared" si="2"/>
        <v/>
      </c>
      <c r="I13" s="511" t="s">
        <v>322</v>
      </c>
      <c r="J13" s="511"/>
      <c r="K13" s="505"/>
      <c r="M13" s="145"/>
      <c r="N13" s="145"/>
      <c r="O13" s="145"/>
      <c r="P13" s="145"/>
      <c r="Q13" s="145"/>
      <c r="R13" s="145"/>
      <c r="S13" s="145"/>
      <c r="T13" s="145"/>
      <c r="U13" s="145"/>
    </row>
    <row r="14" spans="1:21" ht="14.25" x14ac:dyDescent="0.3">
      <c r="A14" s="550" t="s">
        <v>213</v>
      </c>
      <c r="B14" s="551"/>
      <c r="C14" s="289" t="str">
        <f t="shared" ref="C14:H14" si="3">IF(C4="","",IF(C6=1,(0.8*(C7^1.08))/((C13*C11)^0.6)*1000,((C10*(C7^1.8))/(C13*C11))*1000))</f>
        <v/>
      </c>
      <c r="D14" s="151" t="str">
        <f t="shared" si="3"/>
        <v/>
      </c>
      <c r="E14" s="151" t="str">
        <f t="shared" si="3"/>
        <v/>
      </c>
      <c r="F14" s="151" t="str">
        <f t="shared" si="3"/>
        <v/>
      </c>
      <c r="G14" s="151" t="str">
        <f t="shared" si="3"/>
        <v/>
      </c>
      <c r="H14" s="290" t="str">
        <f t="shared" si="3"/>
        <v/>
      </c>
      <c r="I14" s="511" t="s">
        <v>323</v>
      </c>
      <c r="J14" s="511"/>
      <c r="K14" s="505"/>
      <c r="M14" s="145"/>
      <c r="N14" s="145"/>
      <c r="O14" s="145"/>
      <c r="P14" s="145"/>
      <c r="Q14" s="145"/>
      <c r="R14" s="145"/>
      <c r="S14" s="145"/>
      <c r="T14" s="145"/>
      <c r="U14" s="145"/>
    </row>
    <row r="15" spans="1:21" ht="14.25" x14ac:dyDescent="0.3">
      <c r="A15" s="550" t="s">
        <v>217</v>
      </c>
      <c r="B15" s="551"/>
      <c r="C15" s="288"/>
      <c r="D15" s="75"/>
      <c r="E15" s="75"/>
      <c r="F15" s="75"/>
      <c r="G15" s="75"/>
      <c r="H15" s="202"/>
      <c r="I15" s="511" t="s">
        <v>324</v>
      </c>
      <c r="J15" s="511"/>
      <c r="K15" s="505"/>
      <c r="M15" s="145"/>
      <c r="N15" s="145"/>
      <c r="O15" s="145"/>
      <c r="P15" s="145"/>
      <c r="Q15" s="145"/>
      <c r="R15" s="145"/>
      <c r="S15" s="145"/>
      <c r="T15" s="145"/>
      <c r="U15" s="145"/>
    </row>
    <row r="16" spans="1:21" ht="14.25" thickBot="1" x14ac:dyDescent="0.3">
      <c r="A16" s="554" t="s">
        <v>114</v>
      </c>
      <c r="B16" s="555"/>
      <c r="C16" s="291" t="str">
        <f t="shared" ref="C16:H16" si="4">IF(C15="","",ROUNDUP(C15*C8/4.5,0.1))</f>
        <v/>
      </c>
      <c r="D16" s="179" t="str">
        <f t="shared" si="4"/>
        <v/>
      </c>
      <c r="E16" s="179" t="str">
        <f t="shared" si="4"/>
        <v/>
      </c>
      <c r="F16" s="179" t="str">
        <f t="shared" si="4"/>
        <v/>
      </c>
      <c r="G16" s="179" t="str">
        <f t="shared" si="4"/>
        <v/>
      </c>
      <c r="H16" s="292" t="str">
        <f t="shared" si="4"/>
        <v/>
      </c>
      <c r="I16" s="552" t="s">
        <v>115</v>
      </c>
      <c r="J16" s="552"/>
      <c r="K16" s="553"/>
      <c r="M16" s="145"/>
      <c r="N16" s="145"/>
      <c r="O16" s="145"/>
      <c r="P16" s="146" t="s">
        <v>108</v>
      </c>
      <c r="Q16" s="146" t="s">
        <v>109</v>
      </c>
      <c r="R16" s="146" t="s">
        <v>110</v>
      </c>
      <c r="S16" s="146" t="s">
        <v>111</v>
      </c>
      <c r="T16" s="145"/>
      <c r="U16" s="145"/>
    </row>
    <row r="17" spans="1:21" ht="10.5" customHeight="1" thickBot="1" x14ac:dyDescent="0.3">
      <c r="A17" s="190"/>
      <c r="B17" s="191"/>
      <c r="C17" s="192"/>
      <c r="D17" s="192"/>
      <c r="E17" s="192"/>
      <c r="F17" s="192"/>
      <c r="G17" s="192"/>
      <c r="H17" s="192"/>
      <c r="I17" s="193"/>
      <c r="J17" s="193"/>
      <c r="K17" s="194"/>
      <c r="M17" s="145"/>
      <c r="N17" s="145"/>
      <c r="O17" s="145"/>
      <c r="P17" s="146">
        <v>2</v>
      </c>
      <c r="Q17" s="146">
        <v>45</v>
      </c>
      <c r="R17" s="146">
        <v>46</v>
      </c>
      <c r="S17" s="146">
        <v>46.9</v>
      </c>
      <c r="T17" s="145"/>
      <c r="U17" s="145"/>
    </row>
    <row r="18" spans="1:21" ht="14.25" customHeight="1" thickBot="1" x14ac:dyDescent="0.25">
      <c r="A18" s="509" t="s">
        <v>113</v>
      </c>
      <c r="B18" s="510"/>
      <c r="C18" s="510"/>
      <c r="D18" s="510"/>
      <c r="E18" s="510"/>
      <c r="F18" s="510"/>
      <c r="G18" s="510"/>
      <c r="H18" s="510"/>
      <c r="I18" s="510"/>
      <c r="J18" s="510"/>
      <c r="K18" s="518"/>
      <c r="M18" s="145"/>
      <c r="N18" s="145"/>
      <c r="O18" s="145"/>
      <c r="P18" s="146">
        <v>3</v>
      </c>
      <c r="Q18" s="146">
        <v>34.5</v>
      </c>
      <c r="R18" s="146">
        <v>36.700000000000003</v>
      </c>
      <c r="S18" s="146">
        <v>39.5</v>
      </c>
      <c r="T18" s="145"/>
      <c r="U18" s="145"/>
    </row>
    <row r="19" spans="1:21" ht="13.5" x14ac:dyDescent="0.25">
      <c r="A19" s="526" t="s">
        <v>246</v>
      </c>
      <c r="B19" s="527"/>
      <c r="C19" s="293" t="str">
        <f t="shared" ref="C19:H19" si="5">IF(C4="","",C10*C8*C7^1.8)</f>
        <v/>
      </c>
      <c r="D19" s="152" t="str">
        <f t="shared" si="5"/>
        <v/>
      </c>
      <c r="E19" s="152" t="str">
        <f t="shared" si="5"/>
        <v/>
      </c>
      <c r="F19" s="152" t="str">
        <f t="shared" si="5"/>
        <v/>
      </c>
      <c r="G19" s="152" t="str">
        <f t="shared" si="5"/>
        <v/>
      </c>
      <c r="H19" s="294" t="str">
        <f t="shared" si="5"/>
        <v/>
      </c>
      <c r="I19" s="527" t="s">
        <v>325</v>
      </c>
      <c r="J19" s="527"/>
      <c r="K19" s="528"/>
      <c r="M19" s="145"/>
      <c r="N19" s="145"/>
      <c r="O19" s="145"/>
      <c r="P19" s="146">
        <v>4</v>
      </c>
      <c r="Q19" s="146">
        <v>28.4</v>
      </c>
      <c r="R19" s="146">
        <v>30.8</v>
      </c>
      <c r="S19" s="146">
        <v>33.9</v>
      </c>
      <c r="T19" s="145"/>
      <c r="U19" s="145"/>
    </row>
    <row r="20" spans="1:21" ht="13.5" x14ac:dyDescent="0.25">
      <c r="A20" s="504" t="s">
        <v>232</v>
      </c>
      <c r="B20" s="511"/>
      <c r="C20" s="289" t="str">
        <f t="shared" ref="C20:H20" si="6">IF(C4="","",C13*C15/1000*C8)</f>
        <v/>
      </c>
      <c r="D20" s="151" t="str">
        <f t="shared" si="6"/>
        <v/>
      </c>
      <c r="E20" s="151" t="str">
        <f t="shared" si="6"/>
        <v/>
      </c>
      <c r="F20" s="151" t="str">
        <f t="shared" si="6"/>
        <v/>
      </c>
      <c r="G20" s="151" t="str">
        <f t="shared" si="6"/>
        <v/>
      </c>
      <c r="H20" s="290" t="str">
        <f t="shared" si="6"/>
        <v/>
      </c>
      <c r="I20" s="511" t="s">
        <v>326</v>
      </c>
      <c r="J20" s="511"/>
      <c r="K20" s="505"/>
      <c r="M20" s="145"/>
      <c r="N20" s="145"/>
      <c r="O20" s="145"/>
      <c r="P20" s="146">
        <v>5</v>
      </c>
      <c r="Q20" s="146">
        <f>(Q19+Q21)/2</f>
        <v>25.549999999999997</v>
      </c>
      <c r="R20" s="146">
        <f>(R19+R21)/2</f>
        <v>26.85</v>
      </c>
      <c r="S20" s="146">
        <f>(S19+S21)/2</f>
        <v>29.95</v>
      </c>
      <c r="T20" s="145"/>
      <c r="U20" s="145"/>
    </row>
    <row r="21" spans="1:21" ht="13.5" x14ac:dyDescent="0.25">
      <c r="A21" s="504" t="s">
        <v>112</v>
      </c>
      <c r="B21" s="511"/>
      <c r="C21" s="180" t="str">
        <f t="shared" ref="C21:H21" si="7">IF(C20="","",IF(C20*C11&gt;C19,"Area","Volume"))</f>
        <v/>
      </c>
      <c r="D21" s="150" t="str">
        <f t="shared" si="7"/>
        <v/>
      </c>
      <c r="E21" s="150" t="str">
        <f t="shared" si="7"/>
        <v/>
      </c>
      <c r="F21" s="150" t="str">
        <f t="shared" si="7"/>
        <v/>
      </c>
      <c r="G21" s="150" t="str">
        <f t="shared" si="7"/>
        <v/>
      </c>
      <c r="H21" s="181" t="str">
        <f t="shared" si="7"/>
        <v/>
      </c>
      <c r="I21" s="551" t="s">
        <v>220</v>
      </c>
      <c r="J21" s="551"/>
      <c r="K21" s="556"/>
      <c r="M21" s="145"/>
      <c r="N21" s="145"/>
      <c r="O21" s="145"/>
      <c r="P21" s="146">
        <v>6</v>
      </c>
      <c r="Q21" s="146">
        <v>22.7</v>
      </c>
      <c r="R21" s="146">
        <v>22.9</v>
      </c>
      <c r="S21" s="146">
        <v>26</v>
      </c>
      <c r="T21" s="145"/>
      <c r="U21" s="145"/>
    </row>
    <row r="22" spans="1:21" ht="13.5" x14ac:dyDescent="0.25">
      <c r="A22" s="504" t="s">
        <v>247</v>
      </c>
      <c r="B22" s="511"/>
      <c r="C22" s="289" t="str">
        <f t="shared" ref="C22:H22" si="8">IF(C20="","",IF(C21="Volume",C19,C20*C11))</f>
        <v/>
      </c>
      <c r="D22" s="151" t="str">
        <f t="shared" si="8"/>
        <v/>
      </c>
      <c r="E22" s="151" t="str">
        <f t="shared" si="8"/>
        <v/>
      </c>
      <c r="F22" s="151" t="str">
        <f t="shared" si="8"/>
        <v/>
      </c>
      <c r="G22" s="151" t="str">
        <f t="shared" si="8"/>
        <v/>
      </c>
      <c r="H22" s="290" t="str">
        <f t="shared" si="8"/>
        <v/>
      </c>
      <c r="I22" s="511" t="s">
        <v>218</v>
      </c>
      <c r="J22" s="511"/>
      <c r="K22" s="505"/>
      <c r="M22" s="145"/>
      <c r="N22" s="145"/>
      <c r="O22" s="145"/>
      <c r="P22" s="146">
        <v>7</v>
      </c>
      <c r="Q22" s="146">
        <f>(Q21+Q23)/2</f>
        <v>20.149999999999999</v>
      </c>
      <c r="R22" s="146">
        <f>(R21+R23)/2</f>
        <v>20.85</v>
      </c>
      <c r="S22" s="146">
        <f>(S21+S23)/2</f>
        <v>23.45</v>
      </c>
      <c r="T22" s="145"/>
      <c r="U22" s="145"/>
    </row>
    <row r="23" spans="1:21" ht="13.5" x14ac:dyDescent="0.25">
      <c r="A23" s="504" t="s">
        <v>398</v>
      </c>
      <c r="B23" s="511"/>
      <c r="C23" s="289" t="str">
        <f t="shared" ref="C23:H23" si="9">IF(C20="","",C22/C11)</f>
        <v/>
      </c>
      <c r="D23" s="151" t="str">
        <f t="shared" si="9"/>
        <v/>
      </c>
      <c r="E23" s="151" t="str">
        <f t="shared" si="9"/>
        <v/>
      </c>
      <c r="F23" s="151" t="str">
        <f t="shared" si="9"/>
        <v/>
      </c>
      <c r="G23" s="151" t="str">
        <f t="shared" si="9"/>
        <v/>
      </c>
      <c r="H23" s="290" t="str">
        <f t="shared" si="9"/>
        <v/>
      </c>
      <c r="I23" s="511" t="s">
        <v>218</v>
      </c>
      <c r="J23" s="511"/>
      <c r="K23" s="505"/>
      <c r="M23" s="145"/>
      <c r="N23" s="145"/>
      <c r="O23" s="145"/>
      <c r="P23" s="146">
        <v>8</v>
      </c>
      <c r="Q23" s="146">
        <v>17.600000000000001</v>
      </c>
      <c r="R23" s="146">
        <v>18.8</v>
      </c>
      <c r="S23" s="146">
        <v>20.9</v>
      </c>
      <c r="T23" s="145"/>
      <c r="U23" s="145"/>
    </row>
    <row r="24" spans="1:21" ht="13.5" x14ac:dyDescent="0.25">
      <c r="A24" s="504" t="s">
        <v>229</v>
      </c>
      <c r="B24" s="511"/>
      <c r="C24" s="295"/>
      <c r="D24" s="122"/>
      <c r="E24" s="122"/>
      <c r="F24" s="122"/>
      <c r="G24" s="122"/>
      <c r="H24" s="296"/>
      <c r="I24" s="511" t="s">
        <v>116</v>
      </c>
      <c r="J24" s="511"/>
      <c r="K24" s="505"/>
      <c r="M24" s="145"/>
      <c r="N24" s="145"/>
      <c r="O24" s="145"/>
      <c r="P24" s="146">
        <v>9</v>
      </c>
      <c r="Q24" s="146">
        <v>16.2</v>
      </c>
      <c r="R24" s="146">
        <v>17.399999999999999</v>
      </c>
      <c r="S24" s="146">
        <v>19.3</v>
      </c>
      <c r="T24" s="145"/>
      <c r="U24" s="145"/>
    </row>
    <row r="25" spans="1:21" ht="13.5" x14ac:dyDescent="0.25">
      <c r="A25" s="504" t="s">
        <v>230</v>
      </c>
      <c r="B25" s="511"/>
      <c r="C25" s="288"/>
      <c r="D25" s="75"/>
      <c r="E25" s="75"/>
      <c r="F25" s="75"/>
      <c r="G25" s="75"/>
      <c r="H25" s="202"/>
      <c r="I25" s="511" t="s">
        <v>219</v>
      </c>
      <c r="J25" s="511"/>
      <c r="K25" s="505"/>
      <c r="M25" s="145"/>
      <c r="N25" s="145"/>
      <c r="O25" s="145"/>
      <c r="P25" s="145"/>
      <c r="Q25" s="145"/>
      <c r="R25" s="145"/>
      <c r="S25" s="145"/>
      <c r="T25" s="145"/>
      <c r="U25" s="145"/>
    </row>
    <row r="26" spans="1:21" ht="13.5" x14ac:dyDescent="0.25">
      <c r="A26" s="504" t="s">
        <v>221</v>
      </c>
      <c r="B26" s="511"/>
      <c r="C26" s="428" t="str">
        <f t="shared" ref="C26:H26" si="10">IF(C24="","",((C23/C24)^0.5)+((C11/2)*C25*2))</f>
        <v/>
      </c>
      <c r="D26" s="429" t="str">
        <f t="shared" si="10"/>
        <v/>
      </c>
      <c r="E26" s="429" t="str">
        <f t="shared" si="10"/>
        <v/>
      </c>
      <c r="F26" s="429" t="str">
        <f t="shared" si="10"/>
        <v/>
      </c>
      <c r="G26" s="429" t="str">
        <f t="shared" si="10"/>
        <v/>
      </c>
      <c r="H26" s="430" t="str">
        <f t="shared" si="10"/>
        <v/>
      </c>
      <c r="I26" s="511" t="s">
        <v>264</v>
      </c>
      <c r="J26" s="511"/>
      <c r="K26" s="505"/>
      <c r="L26" s="427"/>
      <c r="M26" s="145"/>
      <c r="N26" s="145"/>
      <c r="O26" s="145"/>
      <c r="P26" s="145"/>
      <c r="Q26" s="145"/>
      <c r="R26" s="145"/>
      <c r="S26" s="145"/>
      <c r="T26" s="145"/>
      <c r="U26" s="145"/>
    </row>
    <row r="27" spans="1:21" ht="13.5" x14ac:dyDescent="0.25">
      <c r="A27" s="504" t="s">
        <v>222</v>
      </c>
      <c r="B27" s="511"/>
      <c r="C27" s="428" t="str">
        <f t="shared" ref="C27:H27" si="11">IF(C24="","",C26*C24)</f>
        <v/>
      </c>
      <c r="D27" s="429" t="str">
        <f t="shared" si="11"/>
        <v/>
      </c>
      <c r="E27" s="429" t="str">
        <f t="shared" si="11"/>
        <v/>
      </c>
      <c r="F27" s="429" t="str">
        <f t="shared" si="11"/>
        <v/>
      </c>
      <c r="G27" s="429" t="str">
        <f t="shared" si="11"/>
        <v/>
      </c>
      <c r="H27" s="430" t="str">
        <f t="shared" si="11"/>
        <v/>
      </c>
      <c r="I27" s="511" t="s">
        <v>223</v>
      </c>
      <c r="J27" s="511"/>
      <c r="K27" s="505"/>
      <c r="L27" s="427"/>
      <c r="M27" s="145"/>
      <c r="N27" s="145"/>
      <c r="O27" s="251"/>
      <c r="P27" s="145"/>
      <c r="Q27" s="145"/>
      <c r="R27" s="145"/>
      <c r="S27" s="145"/>
      <c r="T27" s="145"/>
      <c r="U27" s="145"/>
    </row>
    <row r="28" spans="1:21" ht="13.5" customHeight="1" thickBot="1" x14ac:dyDescent="0.35">
      <c r="A28" s="529" t="s">
        <v>281</v>
      </c>
      <c r="B28" s="522"/>
      <c r="C28" s="431">
        <f t="shared" ref="C28:H28" si="12">IF(C24="",0,(C15/1000*C8/(0.6*C26)))</f>
        <v>0</v>
      </c>
      <c r="D28" s="432">
        <f t="shared" si="12"/>
        <v>0</v>
      </c>
      <c r="E28" s="432">
        <f t="shared" si="12"/>
        <v>0</v>
      </c>
      <c r="F28" s="432">
        <f t="shared" si="12"/>
        <v>0</v>
      </c>
      <c r="G28" s="432">
        <f t="shared" si="12"/>
        <v>0</v>
      </c>
      <c r="H28" s="433">
        <f t="shared" si="12"/>
        <v>0</v>
      </c>
      <c r="I28" s="511" t="s">
        <v>327</v>
      </c>
      <c r="J28" s="511"/>
      <c r="K28" s="505"/>
      <c r="L28" s="96"/>
      <c r="M28" s="145"/>
      <c r="N28" s="145"/>
      <c r="O28" s="233" t="s">
        <v>302</v>
      </c>
      <c r="P28" s="235"/>
      <c r="Q28" s="235"/>
      <c r="R28" s="146"/>
      <c r="S28" s="145"/>
      <c r="T28" s="145"/>
      <c r="U28" s="145"/>
    </row>
    <row r="29" spans="1:21" ht="15.75" thickBot="1" x14ac:dyDescent="0.3">
      <c r="A29" s="509" t="s">
        <v>276</v>
      </c>
      <c r="B29" s="510"/>
      <c r="C29" s="510"/>
      <c r="D29" s="510"/>
      <c r="E29" s="510"/>
      <c r="F29" s="510"/>
      <c r="G29" s="510"/>
      <c r="H29" s="510"/>
      <c r="I29" s="510"/>
      <c r="J29" s="510"/>
      <c r="K29" s="518"/>
      <c r="M29" s="145"/>
      <c r="N29" s="145"/>
      <c r="O29" s="392" t="s">
        <v>129</v>
      </c>
      <c r="P29" s="220" t="s">
        <v>131</v>
      </c>
      <c r="Q29" s="220" t="s">
        <v>132</v>
      </c>
      <c r="R29" s="238"/>
      <c r="S29" s="145"/>
      <c r="T29" s="145"/>
      <c r="U29" s="145"/>
    </row>
    <row r="30" spans="1:21" ht="13.5" customHeight="1" x14ac:dyDescent="0.3">
      <c r="A30" s="514" t="s">
        <v>265</v>
      </c>
      <c r="B30" s="515"/>
      <c r="C30" s="316"/>
      <c r="D30" s="74"/>
      <c r="E30" s="74"/>
      <c r="F30" s="74"/>
      <c r="G30" s="74"/>
      <c r="H30" s="320"/>
      <c r="I30" s="523" t="s">
        <v>328</v>
      </c>
      <c r="J30" s="523"/>
      <c r="K30" s="515"/>
      <c r="L30" s="95"/>
      <c r="M30" s="145"/>
      <c r="N30" s="145"/>
      <c r="O30" s="227"/>
      <c r="P30" s="146"/>
      <c r="Q30" s="221"/>
      <c r="R30" s="146"/>
      <c r="S30" s="145"/>
      <c r="T30" s="145"/>
      <c r="U30" s="145"/>
    </row>
    <row r="31" spans="1:21" ht="14.25" customHeight="1" x14ac:dyDescent="0.25">
      <c r="A31" s="504" t="s">
        <v>230</v>
      </c>
      <c r="B31" s="511"/>
      <c r="C31" s="288"/>
      <c r="D31" s="75"/>
      <c r="E31" s="75"/>
      <c r="F31" s="75"/>
      <c r="G31" s="75"/>
      <c r="H31" s="202"/>
      <c r="I31" s="511" t="s">
        <v>219</v>
      </c>
      <c r="J31" s="511"/>
      <c r="K31" s="505"/>
      <c r="L31" s="96"/>
      <c r="M31" s="145"/>
      <c r="N31" s="145"/>
      <c r="O31" s="227">
        <v>50</v>
      </c>
      <c r="P31" s="221">
        <v>24000</v>
      </c>
      <c r="Q31" s="221">
        <v>0.6</v>
      </c>
      <c r="R31" s="221"/>
      <c r="S31" s="145"/>
      <c r="T31" s="145"/>
      <c r="U31" s="145"/>
    </row>
    <row r="32" spans="1:21" ht="14.25" hidden="1" customHeight="1" x14ac:dyDescent="0.25">
      <c r="A32" s="504" t="s">
        <v>266</v>
      </c>
      <c r="B32" s="511"/>
      <c r="C32" s="258" t="str">
        <f t="shared" ref="C32:H32" si="13">IF(C24="","",((C26-(C11*C25*2)-((C30/2)*C31*2))))</f>
        <v/>
      </c>
      <c r="D32" s="157" t="str">
        <f t="shared" si="13"/>
        <v/>
      </c>
      <c r="E32" s="157" t="str">
        <f t="shared" si="13"/>
        <v/>
      </c>
      <c r="F32" s="157" t="str">
        <f t="shared" si="13"/>
        <v/>
      </c>
      <c r="G32" s="157" t="str">
        <f t="shared" si="13"/>
        <v/>
      </c>
      <c r="H32" s="259" t="str">
        <f t="shared" si="13"/>
        <v/>
      </c>
      <c r="I32" s="557" t="s">
        <v>225</v>
      </c>
      <c r="J32" s="558"/>
      <c r="K32" s="559"/>
      <c r="L32" s="96"/>
      <c r="M32" s="145"/>
      <c r="N32" s="145"/>
      <c r="O32" s="227">
        <v>75</v>
      </c>
      <c r="P32" s="221">
        <v>16000</v>
      </c>
      <c r="Q32" s="221">
        <v>0.6</v>
      </c>
      <c r="R32" s="221"/>
      <c r="S32" s="145"/>
      <c r="T32" s="145"/>
      <c r="U32" s="145"/>
    </row>
    <row r="33" spans="1:22" ht="13.5" hidden="1" customHeight="1" x14ac:dyDescent="0.25">
      <c r="A33" s="504" t="s">
        <v>271</v>
      </c>
      <c r="B33" s="505"/>
      <c r="C33" s="258" t="str">
        <f t="shared" ref="C33:H33" si="14">IF(C24="","",((C27-(C11*C25*2))-((C30/2)*C31*2)))</f>
        <v/>
      </c>
      <c r="D33" s="157" t="str">
        <f t="shared" si="14"/>
        <v/>
      </c>
      <c r="E33" s="157" t="str">
        <f t="shared" si="14"/>
        <v/>
      </c>
      <c r="F33" s="157" t="str">
        <f t="shared" si="14"/>
        <v/>
      </c>
      <c r="G33" s="157" t="str">
        <f t="shared" si="14"/>
        <v/>
      </c>
      <c r="H33" s="259" t="str">
        <f t="shared" si="14"/>
        <v/>
      </c>
      <c r="I33" s="560"/>
      <c r="J33" s="561"/>
      <c r="K33" s="562"/>
      <c r="L33" s="96"/>
      <c r="M33" s="145"/>
      <c r="N33" s="145"/>
      <c r="O33" s="227">
        <v>100</v>
      </c>
      <c r="P33" s="221">
        <v>12000</v>
      </c>
      <c r="Q33" s="221">
        <v>0.6</v>
      </c>
      <c r="R33" s="221"/>
      <c r="S33" s="145"/>
      <c r="T33" s="145"/>
      <c r="U33" s="145"/>
    </row>
    <row r="34" spans="1:22" ht="13.5" hidden="1" customHeight="1" x14ac:dyDescent="0.25">
      <c r="A34" s="504" t="s">
        <v>267</v>
      </c>
      <c r="B34" s="505"/>
      <c r="C34" s="263" t="str">
        <f t="shared" ref="C34:H34" si="15">IF(C30="","",C33*C32*C30)</f>
        <v/>
      </c>
      <c r="D34" s="154" t="str">
        <f t="shared" si="15"/>
        <v/>
      </c>
      <c r="E34" s="154" t="str">
        <f t="shared" si="15"/>
        <v/>
      </c>
      <c r="F34" s="154" t="str">
        <f t="shared" si="15"/>
        <v/>
      </c>
      <c r="G34" s="154" t="str">
        <f t="shared" si="15"/>
        <v/>
      </c>
      <c r="H34" s="264" t="str">
        <f t="shared" si="15"/>
        <v/>
      </c>
      <c r="I34" s="511" t="s">
        <v>273</v>
      </c>
      <c r="J34" s="511"/>
      <c r="K34" s="505"/>
      <c r="L34" s="96"/>
      <c r="M34" s="145"/>
      <c r="N34" s="145"/>
      <c r="O34" s="227">
        <v>150</v>
      </c>
      <c r="P34" s="221">
        <v>8000</v>
      </c>
      <c r="Q34" s="221">
        <v>0.68</v>
      </c>
      <c r="R34" s="221"/>
      <c r="S34" s="145"/>
      <c r="T34" s="145"/>
      <c r="U34" s="145"/>
    </row>
    <row r="35" spans="1:22" ht="14.25" customHeight="1" thickBot="1" x14ac:dyDescent="0.3">
      <c r="A35" s="504" t="s">
        <v>282</v>
      </c>
      <c r="B35" s="505"/>
      <c r="C35" s="297">
        <f t="shared" ref="C35:H35" si="16">IF(C30="",0,(4.5/1000)/(C30*C32))</f>
        <v>0</v>
      </c>
      <c r="D35" s="160">
        <f t="shared" si="16"/>
        <v>0</v>
      </c>
      <c r="E35" s="160">
        <f t="shared" si="16"/>
        <v>0</v>
      </c>
      <c r="F35" s="160">
        <f t="shared" si="16"/>
        <v>0</v>
      </c>
      <c r="G35" s="160">
        <f t="shared" si="16"/>
        <v>0</v>
      </c>
      <c r="H35" s="298">
        <f t="shared" si="16"/>
        <v>0</v>
      </c>
      <c r="I35" s="563" t="s">
        <v>329</v>
      </c>
      <c r="J35" s="563"/>
      <c r="K35" s="564"/>
      <c r="M35" s="145"/>
      <c r="N35" s="145"/>
      <c r="O35" s="227">
        <v>200</v>
      </c>
      <c r="P35" s="221">
        <v>6000</v>
      </c>
      <c r="Q35" s="221">
        <v>0.9</v>
      </c>
      <c r="R35" s="393"/>
      <c r="S35" s="145"/>
      <c r="T35" s="145"/>
      <c r="U35" s="145"/>
    </row>
    <row r="36" spans="1:22" ht="14.25" customHeight="1" thickBot="1" x14ac:dyDescent="0.3">
      <c r="A36" s="509" t="s">
        <v>277</v>
      </c>
      <c r="B36" s="510"/>
      <c r="C36" s="510"/>
      <c r="D36" s="510"/>
      <c r="E36" s="510"/>
      <c r="F36" s="510"/>
      <c r="G36" s="510"/>
      <c r="H36" s="510"/>
      <c r="I36" s="510"/>
      <c r="J36" s="510"/>
      <c r="K36" s="518"/>
      <c r="M36" s="145"/>
      <c r="N36" s="145"/>
      <c r="O36" s="240">
        <v>300</v>
      </c>
      <c r="P36" s="221">
        <v>4000</v>
      </c>
      <c r="Q36" s="225">
        <v>1.35</v>
      </c>
      <c r="R36" s="241"/>
      <c r="S36" s="145"/>
      <c r="T36" s="145"/>
      <c r="U36" s="145"/>
    </row>
    <row r="37" spans="1:22" ht="14.25" customHeight="1" x14ac:dyDescent="0.25">
      <c r="A37" s="514" t="s">
        <v>32</v>
      </c>
      <c r="B37" s="515"/>
      <c r="C37" s="333" t="str">
        <f t="shared" ref="C37:H37" si="17">IF(C4="","",HLOOKUP(C4,$Q$45:$V$47,2,FALSE))</f>
        <v/>
      </c>
      <c r="D37" s="163" t="str">
        <f t="shared" si="17"/>
        <v/>
      </c>
      <c r="E37" s="163" t="str">
        <f t="shared" si="17"/>
        <v/>
      </c>
      <c r="F37" s="163" t="str">
        <f t="shared" si="17"/>
        <v/>
      </c>
      <c r="G37" s="163" t="str">
        <f t="shared" si="17"/>
        <v/>
      </c>
      <c r="H37" s="363" t="str">
        <f t="shared" si="17"/>
        <v/>
      </c>
      <c r="I37" s="523" t="s">
        <v>330</v>
      </c>
      <c r="J37" s="523"/>
      <c r="K37" s="515"/>
      <c r="M37" s="145"/>
      <c r="N37" s="145"/>
      <c r="O37" s="145"/>
      <c r="P37" s="224"/>
      <c r="Q37" s="145"/>
      <c r="R37" s="145"/>
      <c r="S37" s="145"/>
      <c r="T37" s="145"/>
      <c r="U37" s="145"/>
    </row>
    <row r="38" spans="1:22" ht="14.25" customHeight="1" x14ac:dyDescent="0.25">
      <c r="A38" s="504" t="s">
        <v>291</v>
      </c>
      <c r="B38" s="505"/>
      <c r="C38" s="288"/>
      <c r="D38" s="75"/>
      <c r="E38" s="75"/>
      <c r="F38" s="75"/>
      <c r="G38" s="75"/>
      <c r="H38" s="202"/>
      <c r="I38" s="511" t="s">
        <v>331</v>
      </c>
      <c r="J38" s="511"/>
      <c r="K38" s="505"/>
      <c r="L38" s="204">
        <f>M38*N38</f>
        <v>0</v>
      </c>
      <c r="M38" s="145"/>
      <c r="N38" s="148"/>
      <c r="O38" s="148"/>
      <c r="P38" s="147"/>
      <c r="Q38" s="147"/>
      <c r="R38" s="145"/>
      <c r="S38" s="145"/>
      <c r="T38" s="145"/>
      <c r="U38" s="145"/>
    </row>
    <row r="39" spans="1:22" ht="13.5" x14ac:dyDescent="0.25">
      <c r="A39" s="504" t="s">
        <v>33</v>
      </c>
      <c r="B39" s="505"/>
      <c r="C39" s="258" t="str">
        <f t="shared" ref="C39:H39" si="18">IF(C37="","",C37/C38)</f>
        <v/>
      </c>
      <c r="D39" s="157" t="str">
        <f t="shared" si="18"/>
        <v/>
      </c>
      <c r="E39" s="157" t="str">
        <f t="shared" si="18"/>
        <v/>
      </c>
      <c r="F39" s="157" t="str">
        <f t="shared" si="18"/>
        <v/>
      </c>
      <c r="G39" s="157" t="str">
        <f t="shared" si="18"/>
        <v/>
      </c>
      <c r="H39" s="259" t="str">
        <f t="shared" si="18"/>
        <v/>
      </c>
      <c r="I39" s="511" t="s">
        <v>197</v>
      </c>
      <c r="J39" s="511"/>
      <c r="K39" s="505"/>
      <c r="L39" s="204">
        <f>M39*N39</f>
        <v>0</v>
      </c>
      <c r="M39" s="145"/>
      <c r="N39" s="148"/>
      <c r="O39" s="148"/>
      <c r="P39" s="147"/>
      <c r="Q39" s="147"/>
      <c r="R39" s="145"/>
      <c r="S39" s="145"/>
      <c r="T39" s="145"/>
      <c r="U39" s="145"/>
    </row>
    <row r="40" spans="1:22" ht="13.5" x14ac:dyDescent="0.25">
      <c r="A40" s="504" t="s">
        <v>275</v>
      </c>
      <c r="B40" s="505"/>
      <c r="C40" s="341"/>
      <c r="D40" s="188"/>
      <c r="E40" s="188"/>
      <c r="F40" s="188"/>
      <c r="G40" s="188"/>
      <c r="H40" s="364"/>
      <c r="I40" s="524" t="s">
        <v>332</v>
      </c>
      <c r="J40" s="524"/>
      <c r="K40" s="525"/>
      <c r="L40" s="204">
        <f>M40*N40</f>
        <v>0</v>
      </c>
      <c r="M40" s="145"/>
      <c r="N40" s="148"/>
      <c r="O40" s="148"/>
      <c r="P40" s="147"/>
      <c r="Q40" s="147"/>
      <c r="R40" s="145"/>
      <c r="S40" s="145"/>
      <c r="T40" s="145"/>
      <c r="U40" s="145"/>
    </row>
    <row r="41" spans="1:22" ht="13.5" customHeight="1" x14ac:dyDescent="0.25">
      <c r="A41" s="504" t="s">
        <v>162</v>
      </c>
      <c r="B41" s="505"/>
      <c r="C41" s="119"/>
      <c r="D41" s="118"/>
      <c r="E41" s="118"/>
      <c r="F41" s="118"/>
      <c r="G41" s="118"/>
      <c r="H41" s="120"/>
      <c r="I41" s="524"/>
      <c r="J41" s="524"/>
      <c r="K41" s="525"/>
      <c r="L41" s="204">
        <f>M41*N41</f>
        <v>0</v>
      </c>
      <c r="M41" s="145"/>
      <c r="N41" s="148"/>
      <c r="O41" s="148"/>
      <c r="P41" s="147"/>
      <c r="Q41" s="147"/>
      <c r="R41" s="145"/>
      <c r="S41" s="145"/>
      <c r="T41" s="145"/>
      <c r="U41" s="145"/>
    </row>
    <row r="42" spans="1:22" ht="13.5" customHeight="1" x14ac:dyDescent="0.25">
      <c r="A42" s="504" t="s">
        <v>296</v>
      </c>
      <c r="B42" s="505"/>
      <c r="C42" s="258" t="str">
        <f t="shared" ref="C42:H42" si="19">IF(C4="","",IF(C40="x",ROUND(0.3*C22,0),IF(C39&lt;0.5,0,ROUND(C39/12*C41*(HLOOKUP(C4,$Q$45:$U$47,3,FALSE)),0))))</f>
        <v/>
      </c>
      <c r="D42" s="157" t="str">
        <f t="shared" si="19"/>
        <v/>
      </c>
      <c r="E42" s="157" t="str">
        <f t="shared" si="19"/>
        <v/>
      </c>
      <c r="F42" s="157" t="str">
        <f t="shared" si="19"/>
        <v/>
      </c>
      <c r="G42" s="157" t="str">
        <f t="shared" si="19"/>
        <v/>
      </c>
      <c r="H42" s="259" t="str">
        <f t="shared" si="19"/>
        <v/>
      </c>
      <c r="I42" s="519" t="s">
        <v>389</v>
      </c>
      <c r="J42" s="519"/>
      <c r="K42" s="520"/>
      <c r="M42" s="145"/>
      <c r="N42" s="145"/>
      <c r="O42" s="148"/>
      <c r="P42" s="147"/>
      <c r="Q42" s="147"/>
      <c r="R42" s="145"/>
      <c r="S42" s="145"/>
      <c r="T42" s="145"/>
      <c r="U42" s="145"/>
    </row>
    <row r="43" spans="1:22" ht="13.5" customHeight="1" x14ac:dyDescent="0.3">
      <c r="A43" s="504" t="s">
        <v>268</v>
      </c>
      <c r="B43" s="505"/>
      <c r="C43" s="288"/>
      <c r="D43" s="75"/>
      <c r="E43" s="75"/>
      <c r="F43" s="75"/>
      <c r="G43" s="75"/>
      <c r="H43" s="202"/>
      <c r="I43" s="511" t="s">
        <v>224</v>
      </c>
      <c r="J43" s="511"/>
      <c r="K43" s="505"/>
      <c r="M43" s="145"/>
      <c r="N43" s="145"/>
      <c r="O43" s="148"/>
      <c r="P43" s="147"/>
      <c r="Q43" s="147"/>
      <c r="R43" s="145"/>
      <c r="S43" s="145"/>
      <c r="T43" s="145"/>
      <c r="U43" s="145"/>
    </row>
    <row r="44" spans="1:22" ht="13.5" customHeight="1" x14ac:dyDescent="0.25">
      <c r="A44" s="504" t="s">
        <v>230</v>
      </c>
      <c r="B44" s="511"/>
      <c r="C44" s="288"/>
      <c r="D44" s="75"/>
      <c r="E44" s="75"/>
      <c r="F44" s="75"/>
      <c r="G44" s="75"/>
      <c r="H44" s="202"/>
      <c r="I44" s="511" t="s">
        <v>219</v>
      </c>
      <c r="J44" s="511"/>
      <c r="K44" s="505"/>
      <c r="M44" s="145"/>
      <c r="N44" s="145"/>
      <c r="O44" s="145"/>
      <c r="P44" s="147"/>
      <c r="Q44" s="147"/>
      <c r="R44" s="145"/>
      <c r="S44" s="145"/>
      <c r="T44" s="145"/>
      <c r="U44" s="145"/>
    </row>
    <row r="45" spans="1:22" ht="13.5" hidden="1" customHeight="1" x14ac:dyDescent="0.25">
      <c r="A45" s="504" t="s">
        <v>270</v>
      </c>
      <c r="B45" s="505"/>
      <c r="C45" s="258" t="str">
        <f t="shared" ref="C45:H45" si="20">IF(C43="","",(((C32)-(((C30/2)*C31)+((C43/2)*C44))*2)))</f>
        <v/>
      </c>
      <c r="D45" s="157" t="str">
        <f t="shared" si="20"/>
        <v/>
      </c>
      <c r="E45" s="157" t="str">
        <f t="shared" si="20"/>
        <v/>
      </c>
      <c r="F45" s="157" t="str">
        <f t="shared" si="20"/>
        <v/>
      </c>
      <c r="G45" s="157" t="str">
        <f t="shared" si="20"/>
        <v/>
      </c>
      <c r="H45" s="259" t="str">
        <f t="shared" si="20"/>
        <v/>
      </c>
      <c r="I45" s="521" t="s">
        <v>225</v>
      </c>
      <c r="J45" s="521"/>
      <c r="K45" s="522"/>
      <c r="M45" s="145"/>
      <c r="N45" s="145"/>
      <c r="O45" s="145"/>
      <c r="P45" s="394" t="s">
        <v>164</v>
      </c>
      <c r="Q45" s="395">
        <f>'1. Erosion Haz + Basins'!B13</f>
        <v>0</v>
      </c>
      <c r="R45" s="395">
        <f>'1. Erosion Haz + Basins'!C13</f>
        <v>0</v>
      </c>
      <c r="S45" s="395">
        <f>'1. Erosion Haz + Basins'!D13</f>
        <v>0</v>
      </c>
      <c r="T45" s="395">
        <f>'1. Erosion Haz + Basins'!E13</f>
        <v>0</v>
      </c>
      <c r="U45" s="395">
        <f>'1. Erosion Haz + Basins'!F13</f>
        <v>0</v>
      </c>
      <c r="V45" s="395">
        <f>'1. Erosion Haz + Basins'!G13</f>
        <v>0</v>
      </c>
    </row>
    <row r="46" spans="1:22" ht="13.5" hidden="1" customHeight="1" x14ac:dyDescent="0.25">
      <c r="A46" s="504" t="s">
        <v>272</v>
      </c>
      <c r="B46" s="505"/>
      <c r="C46" s="258" t="str">
        <f t="shared" ref="C46:H46" si="21">IF(C43="","",(((C33)-(((C30/2)*C31)+((C43/2)*C44))*2)))</f>
        <v/>
      </c>
      <c r="D46" s="157" t="str">
        <f t="shared" si="21"/>
        <v/>
      </c>
      <c r="E46" s="157" t="str">
        <f t="shared" si="21"/>
        <v/>
      </c>
      <c r="F46" s="157" t="str">
        <f t="shared" si="21"/>
        <v/>
      </c>
      <c r="G46" s="157" t="str">
        <f t="shared" si="21"/>
        <v/>
      </c>
      <c r="H46" s="259" t="str">
        <f t="shared" si="21"/>
        <v/>
      </c>
      <c r="I46" s="521"/>
      <c r="J46" s="521"/>
      <c r="K46" s="522"/>
      <c r="M46" s="145"/>
      <c r="N46" s="145"/>
      <c r="O46" s="145"/>
      <c r="P46" s="396" t="s">
        <v>165</v>
      </c>
      <c r="Q46" s="149" t="str">
        <f>'1. Erosion Haz + Basins'!B40</f>
        <v/>
      </c>
      <c r="R46" s="149" t="str">
        <f>'1. Erosion Haz + Basins'!C40</f>
        <v/>
      </c>
      <c r="S46" s="149" t="str">
        <f>'1. Erosion Haz + Basins'!D40</f>
        <v/>
      </c>
      <c r="T46" s="149" t="str">
        <f>'1. Erosion Haz + Basins'!E40</f>
        <v/>
      </c>
      <c r="U46" s="149" t="str">
        <f>'1. Erosion Haz + Basins'!F40</f>
        <v/>
      </c>
      <c r="V46" s="149" t="str">
        <f>'1. Erosion Haz + Basins'!G40</f>
        <v/>
      </c>
    </row>
    <row r="47" spans="1:22" ht="14.25" hidden="1" customHeight="1" thickBot="1" x14ac:dyDescent="0.3">
      <c r="A47" s="504" t="s">
        <v>280</v>
      </c>
      <c r="B47" s="505"/>
      <c r="C47" s="258" t="str">
        <f t="shared" ref="C47:H47" si="22">IF(C43="","",(((C32)-(((C30/2)*C31)*2)-((C43)*C44)*2)))</f>
        <v/>
      </c>
      <c r="D47" s="157" t="str">
        <f t="shared" si="22"/>
        <v/>
      </c>
      <c r="E47" s="157" t="str">
        <f t="shared" si="22"/>
        <v/>
      </c>
      <c r="F47" s="157" t="str">
        <f t="shared" si="22"/>
        <v/>
      </c>
      <c r="G47" s="157" t="str">
        <f t="shared" si="22"/>
        <v/>
      </c>
      <c r="H47" s="259" t="str">
        <f t="shared" si="22"/>
        <v/>
      </c>
      <c r="I47" s="142"/>
      <c r="J47" s="142"/>
      <c r="K47" s="143"/>
      <c r="M47" s="145"/>
      <c r="N47" s="145"/>
      <c r="O47" s="145"/>
      <c r="P47" s="397" t="s">
        <v>166</v>
      </c>
      <c r="Q47" s="398">
        <f>'1. Erosion Haz + Basins'!B15</f>
        <v>0</v>
      </c>
      <c r="R47" s="398">
        <f>'1. Erosion Haz + Basins'!C15</f>
        <v>0</v>
      </c>
      <c r="S47" s="398">
        <f>'1. Erosion Haz + Basins'!D15</f>
        <v>0</v>
      </c>
      <c r="T47" s="398">
        <f>'1. Erosion Haz + Basins'!E15</f>
        <v>0</v>
      </c>
      <c r="U47" s="398">
        <f>'1. Erosion Haz + Basins'!F15</f>
        <v>0</v>
      </c>
      <c r="V47" s="398">
        <f>'1. Erosion Haz + Basins'!G15</f>
        <v>0</v>
      </c>
    </row>
    <row r="48" spans="1:22" ht="14.25" customHeight="1" x14ac:dyDescent="0.25">
      <c r="A48" s="504" t="s">
        <v>269</v>
      </c>
      <c r="B48" s="505"/>
      <c r="C48" s="258" t="str">
        <f t="shared" ref="C48:H48" si="23">IF(C43="","",C45*C46*C43)</f>
        <v/>
      </c>
      <c r="D48" s="154" t="str">
        <f t="shared" si="23"/>
        <v/>
      </c>
      <c r="E48" s="154" t="str">
        <f t="shared" si="23"/>
        <v/>
      </c>
      <c r="F48" s="154" t="str">
        <f t="shared" si="23"/>
        <v/>
      </c>
      <c r="G48" s="154" t="str">
        <f t="shared" si="23"/>
        <v/>
      </c>
      <c r="H48" s="264" t="str">
        <f t="shared" si="23"/>
        <v/>
      </c>
      <c r="I48" s="511" t="s">
        <v>274</v>
      </c>
      <c r="J48" s="511"/>
      <c r="K48" s="505"/>
      <c r="M48" s="145"/>
      <c r="N48" s="145"/>
      <c r="O48" s="145"/>
      <c r="P48" s="399"/>
      <c r="Q48" s="400"/>
      <c r="R48" s="400"/>
      <c r="S48" s="400"/>
      <c r="T48" s="400"/>
      <c r="U48" s="400"/>
    </row>
    <row r="49" spans="1:21" ht="29.25" customHeight="1" thickBot="1" x14ac:dyDescent="0.25">
      <c r="A49" s="506" t="s">
        <v>283</v>
      </c>
      <c r="B49" s="508"/>
      <c r="C49" s="365" t="str">
        <f t="shared" ref="C49:H49" si="24">IF(C43="","",IF(C48&gt;C42,"OK","Increase sediment store"))</f>
        <v/>
      </c>
      <c r="D49" s="321" t="str">
        <f t="shared" si="24"/>
        <v/>
      </c>
      <c r="E49" s="321" t="str">
        <f t="shared" si="24"/>
        <v/>
      </c>
      <c r="F49" s="321" t="str">
        <f t="shared" si="24"/>
        <v/>
      </c>
      <c r="G49" s="321" t="str">
        <f t="shared" si="24"/>
        <v/>
      </c>
      <c r="H49" s="366" t="str">
        <f t="shared" si="24"/>
        <v/>
      </c>
      <c r="I49" s="506" t="s">
        <v>334</v>
      </c>
      <c r="J49" s="507"/>
      <c r="K49" s="508"/>
      <c r="M49" s="145"/>
      <c r="N49" s="145"/>
      <c r="O49" s="145"/>
      <c r="P49" s="399"/>
      <c r="Q49" s="400"/>
      <c r="R49" s="400"/>
      <c r="S49" s="400"/>
      <c r="T49" s="400"/>
      <c r="U49" s="400"/>
    </row>
    <row r="50" spans="1:21" ht="9.75" customHeight="1" thickBot="1" x14ac:dyDescent="0.25">
      <c r="A50" s="211"/>
      <c r="K50" s="280"/>
      <c r="M50" s="145"/>
      <c r="N50" s="145"/>
      <c r="O50" s="145"/>
      <c r="P50" s="146"/>
      <c r="Q50" s="401"/>
      <c r="R50" s="401"/>
      <c r="S50" s="401"/>
      <c r="T50" s="401"/>
      <c r="U50" s="401"/>
    </row>
    <row r="51" spans="1:21" ht="13.5" customHeight="1" thickBot="1" x14ac:dyDescent="0.25">
      <c r="A51" s="509" t="s">
        <v>226</v>
      </c>
      <c r="B51" s="510"/>
      <c r="C51" s="510"/>
      <c r="D51" s="510"/>
      <c r="E51" s="136"/>
      <c r="F51" s="136"/>
      <c r="G51" s="136"/>
      <c r="H51" s="136"/>
      <c r="I51" s="136"/>
      <c r="J51" s="136"/>
      <c r="K51" s="137"/>
      <c r="M51" s="145"/>
      <c r="N51" s="145"/>
      <c r="O51" s="145"/>
      <c r="P51" s="146"/>
      <c r="Q51" s="145"/>
      <c r="R51" s="145"/>
      <c r="S51" s="145"/>
      <c r="T51" s="145"/>
      <c r="U51" s="145"/>
    </row>
    <row r="52" spans="1:21" ht="13.5" thickBot="1" x14ac:dyDescent="0.25">
      <c r="A52" s="509" t="s">
        <v>130</v>
      </c>
      <c r="B52" s="518"/>
      <c r="C52" s="176">
        <f t="shared" ref="C52:H52" si="25">C4</f>
        <v>0</v>
      </c>
      <c r="D52" s="283">
        <f t="shared" si="25"/>
        <v>0</v>
      </c>
      <c r="E52" s="177">
        <f t="shared" si="25"/>
        <v>0</v>
      </c>
      <c r="F52" s="177">
        <f t="shared" si="25"/>
        <v>0</v>
      </c>
      <c r="G52" s="284">
        <f t="shared" si="25"/>
        <v>0</v>
      </c>
      <c r="H52" s="178">
        <f t="shared" si="25"/>
        <v>0</v>
      </c>
      <c r="I52" s="195"/>
      <c r="J52" s="128"/>
      <c r="K52" s="129"/>
      <c r="M52" s="145"/>
      <c r="N52" s="145"/>
      <c r="O52" s="145"/>
      <c r="P52" s="146"/>
      <c r="Q52" s="401"/>
      <c r="R52" s="401"/>
      <c r="S52" s="401"/>
      <c r="T52" s="401"/>
      <c r="U52" s="401"/>
    </row>
    <row r="53" spans="1:21" ht="14.25" customHeight="1" x14ac:dyDescent="0.25">
      <c r="A53" s="514" t="s">
        <v>248</v>
      </c>
      <c r="B53" s="515"/>
      <c r="C53" s="156" t="str">
        <f t="shared" ref="C53:H54" si="26">C22</f>
        <v/>
      </c>
      <c r="D53" s="281" t="str">
        <f t="shared" si="26"/>
        <v/>
      </c>
      <c r="E53" s="157" t="str">
        <f t="shared" si="26"/>
        <v/>
      </c>
      <c r="F53" s="157" t="str">
        <f t="shared" si="26"/>
        <v/>
      </c>
      <c r="G53" s="172" t="str">
        <f t="shared" si="26"/>
        <v/>
      </c>
      <c r="H53" s="158" t="str">
        <f t="shared" si="26"/>
        <v/>
      </c>
      <c r="I53" s="514" t="s">
        <v>335</v>
      </c>
      <c r="J53" s="523"/>
      <c r="K53" s="515"/>
      <c r="M53" s="145"/>
      <c r="N53" s="145"/>
      <c r="O53" s="145"/>
      <c r="P53" s="146"/>
      <c r="Q53" s="145"/>
      <c r="R53" s="145"/>
      <c r="S53" s="145"/>
      <c r="T53" s="145"/>
      <c r="U53" s="145"/>
    </row>
    <row r="54" spans="1:21" ht="14.25" customHeight="1" x14ac:dyDescent="0.25">
      <c r="A54" s="504" t="s">
        <v>242</v>
      </c>
      <c r="B54" s="505"/>
      <c r="C54" s="156" t="str">
        <f t="shared" si="26"/>
        <v/>
      </c>
      <c r="D54" s="281" t="str">
        <f t="shared" si="26"/>
        <v/>
      </c>
      <c r="E54" s="157" t="str">
        <f t="shared" si="26"/>
        <v/>
      </c>
      <c r="F54" s="157" t="str">
        <f t="shared" si="26"/>
        <v/>
      </c>
      <c r="G54" s="172" t="str">
        <f t="shared" si="26"/>
        <v/>
      </c>
      <c r="H54" s="158" t="str">
        <f t="shared" si="26"/>
        <v/>
      </c>
      <c r="I54" s="504" t="s">
        <v>336</v>
      </c>
      <c r="J54" s="511"/>
      <c r="K54" s="505"/>
      <c r="M54" s="145"/>
      <c r="N54" s="145"/>
      <c r="O54" s="145"/>
      <c r="P54" s="146"/>
      <c r="Q54" s="401"/>
      <c r="R54" s="401"/>
      <c r="S54" s="401"/>
      <c r="T54" s="401"/>
      <c r="U54" s="401"/>
    </row>
    <row r="55" spans="1:21" ht="15" customHeight="1" x14ac:dyDescent="0.3">
      <c r="A55" s="504" t="s">
        <v>279</v>
      </c>
      <c r="B55" s="505"/>
      <c r="C55" s="153" t="str">
        <f t="shared" ref="C55:H55" si="27">C34</f>
        <v/>
      </c>
      <c r="D55" s="282" t="str">
        <f t="shared" si="27"/>
        <v/>
      </c>
      <c r="E55" s="154" t="str">
        <f t="shared" si="27"/>
        <v/>
      </c>
      <c r="F55" s="154" t="str">
        <f t="shared" si="27"/>
        <v/>
      </c>
      <c r="G55" s="171" t="str">
        <f t="shared" si="27"/>
        <v/>
      </c>
      <c r="H55" s="155" t="str">
        <f t="shared" si="27"/>
        <v/>
      </c>
      <c r="I55" s="504" t="s">
        <v>285</v>
      </c>
      <c r="J55" s="511"/>
      <c r="K55" s="505"/>
      <c r="M55" s="145"/>
      <c r="N55" s="145"/>
      <c r="O55" s="145"/>
      <c r="P55" s="145"/>
      <c r="Q55" s="145"/>
      <c r="R55" s="145"/>
      <c r="S55" s="145"/>
      <c r="T55" s="145"/>
      <c r="U55" s="145"/>
    </row>
    <row r="56" spans="1:21" ht="15" customHeight="1" thickBot="1" x14ac:dyDescent="0.35">
      <c r="A56" s="516" t="s">
        <v>278</v>
      </c>
      <c r="B56" s="517"/>
      <c r="C56" s="299" t="str">
        <f t="shared" ref="C56:H56" si="28">C48</f>
        <v/>
      </c>
      <c r="D56" s="300" t="str">
        <f t="shared" si="28"/>
        <v/>
      </c>
      <c r="E56" s="301" t="str">
        <f t="shared" si="28"/>
        <v/>
      </c>
      <c r="F56" s="301" t="str">
        <f t="shared" si="28"/>
        <v/>
      </c>
      <c r="G56" s="302" t="str">
        <f t="shared" si="28"/>
        <v/>
      </c>
      <c r="H56" s="303" t="str">
        <f t="shared" si="28"/>
        <v/>
      </c>
      <c r="I56" s="504" t="s">
        <v>337</v>
      </c>
      <c r="J56" s="511"/>
      <c r="K56" s="505"/>
      <c r="M56" s="223"/>
      <c r="N56" s="145"/>
      <c r="O56" s="145"/>
      <c r="P56" s="146"/>
      <c r="Q56" s="145"/>
      <c r="R56" s="145"/>
      <c r="S56" s="145"/>
      <c r="T56" s="145"/>
      <c r="U56" s="145"/>
    </row>
    <row r="57" spans="1:21" ht="15" customHeight="1" thickBot="1" x14ac:dyDescent="0.3">
      <c r="A57" s="512" t="s">
        <v>284</v>
      </c>
      <c r="B57" s="513"/>
      <c r="C57" s="304" t="str">
        <f t="shared" ref="C57:H57" si="29">IF(C4="","",C53+C55+C56)</f>
        <v/>
      </c>
      <c r="D57" s="305" t="str">
        <f t="shared" si="29"/>
        <v/>
      </c>
      <c r="E57" s="306" t="str">
        <f t="shared" si="29"/>
        <v/>
      </c>
      <c r="F57" s="306" t="str">
        <f t="shared" si="29"/>
        <v/>
      </c>
      <c r="G57" s="307" t="str">
        <f t="shared" si="29"/>
        <v/>
      </c>
      <c r="H57" s="308" t="str">
        <f t="shared" si="29"/>
        <v/>
      </c>
      <c r="I57" s="196"/>
      <c r="J57" s="197"/>
      <c r="K57" s="198"/>
      <c r="M57" s="223"/>
      <c r="N57" s="145"/>
      <c r="O57" s="145"/>
      <c r="P57" s="146"/>
      <c r="Q57" s="145"/>
      <c r="R57" s="145"/>
      <c r="S57" s="145"/>
      <c r="T57" s="145"/>
      <c r="U57" s="145"/>
    </row>
    <row r="58" spans="1:21" ht="15" customHeight="1" x14ac:dyDescent="0.25">
      <c r="A58" s="330"/>
      <c r="B58" s="330"/>
      <c r="C58" s="330"/>
      <c r="D58" s="330"/>
      <c r="E58" s="330"/>
      <c r="F58" s="330"/>
      <c r="G58" s="330"/>
      <c r="H58" s="330"/>
      <c r="I58" s="331"/>
      <c r="J58" s="331"/>
      <c r="K58" s="134" t="str">
        <f>"Version "&amp;Information!B13</f>
        <v>Version 5.9</v>
      </c>
      <c r="M58" s="223"/>
      <c r="N58" s="145"/>
      <c r="O58" s="145"/>
      <c r="P58" s="146"/>
      <c r="Q58" s="145"/>
      <c r="R58" s="145"/>
      <c r="S58" s="145"/>
      <c r="T58" s="145"/>
      <c r="U58" s="145"/>
    </row>
    <row r="59" spans="1:21" ht="15" customHeight="1" x14ac:dyDescent="0.2">
      <c r="M59" s="145"/>
      <c r="N59" s="145"/>
      <c r="O59" s="145"/>
      <c r="P59" s="145"/>
      <c r="Q59" s="145"/>
      <c r="R59" s="145"/>
      <c r="S59" s="145"/>
      <c r="T59" s="145"/>
      <c r="U59" s="145"/>
    </row>
  </sheetData>
  <sheetProtection algorithmName="SHA-512" hashValue="mqqMxJPiARU5m+kbvMtXSlRTnYQEq4lv2mL3k3RAOZ+xA9ywVjGBR9IOiBm1IC7PkCpzGnmbblF+7kf3ocZnew==" saltValue="ePvLMXTL90Cvt8zMQZ8hBA==" spinCount="100000" sheet="1" objects="1" scenarios="1" formatColumns="0" selectLockedCells="1"/>
  <protectedRanges>
    <protectedRange sqref="C15:H15" name="Range4"/>
    <protectedRange sqref="C4:H5" name="Range1"/>
    <protectedRange sqref="C9:H9 C11:H13" name="Range3"/>
  </protectedRanges>
  <mergeCells count="96">
    <mergeCell ref="I56:K56"/>
    <mergeCell ref="A31:B31"/>
    <mergeCell ref="I31:K31"/>
    <mergeCell ref="A32:B32"/>
    <mergeCell ref="A34:B34"/>
    <mergeCell ref="A36:K36"/>
    <mergeCell ref="A40:B40"/>
    <mergeCell ref="A42:B42"/>
    <mergeCell ref="A43:B43"/>
    <mergeCell ref="I34:K34"/>
    <mergeCell ref="I32:K33"/>
    <mergeCell ref="A35:B35"/>
    <mergeCell ref="I35:K35"/>
    <mergeCell ref="I53:K53"/>
    <mergeCell ref="I54:K54"/>
    <mergeCell ref="A52:B52"/>
    <mergeCell ref="I16:K16"/>
    <mergeCell ref="A16:B16"/>
    <mergeCell ref="I20:K20"/>
    <mergeCell ref="A22:B22"/>
    <mergeCell ref="I55:K55"/>
    <mergeCell ref="I30:K30"/>
    <mergeCell ref="A33:B33"/>
    <mergeCell ref="I21:K21"/>
    <mergeCell ref="A25:B25"/>
    <mergeCell ref="A26:B26"/>
    <mergeCell ref="I25:K25"/>
    <mergeCell ref="A27:B27"/>
    <mergeCell ref="A30:B30"/>
    <mergeCell ref="A21:B21"/>
    <mergeCell ref="A18:K18"/>
    <mergeCell ref="A20:B20"/>
    <mergeCell ref="I8:K8"/>
    <mergeCell ref="A11:B11"/>
    <mergeCell ref="I11:K11"/>
    <mergeCell ref="A14:B14"/>
    <mergeCell ref="A15:B15"/>
    <mergeCell ref="A9:B9"/>
    <mergeCell ref="A8:B8"/>
    <mergeCell ref="I12:K12"/>
    <mergeCell ref="A13:B13"/>
    <mergeCell ref="I13:K13"/>
    <mergeCell ref="I14:K14"/>
    <mergeCell ref="I15:K15"/>
    <mergeCell ref="I9:K9"/>
    <mergeCell ref="A12:B12"/>
    <mergeCell ref="A10:B10"/>
    <mergeCell ref="I10:K10"/>
    <mergeCell ref="I7:K7"/>
    <mergeCell ref="A4:B4"/>
    <mergeCell ref="I5:K5"/>
    <mergeCell ref="I3:K3"/>
    <mergeCell ref="I4:K4"/>
    <mergeCell ref="A1:F1"/>
    <mergeCell ref="A5:B5"/>
    <mergeCell ref="A6:B6"/>
    <mergeCell ref="C3:H3"/>
    <mergeCell ref="I6:K6"/>
    <mergeCell ref="A19:B19"/>
    <mergeCell ref="I19:K19"/>
    <mergeCell ref="A24:B24"/>
    <mergeCell ref="A28:B28"/>
    <mergeCell ref="I27:K27"/>
    <mergeCell ref="I22:K22"/>
    <mergeCell ref="I23:K23"/>
    <mergeCell ref="A23:B23"/>
    <mergeCell ref="I28:K28"/>
    <mergeCell ref="I24:K24"/>
    <mergeCell ref="I26:K26"/>
    <mergeCell ref="A29:K29"/>
    <mergeCell ref="I42:K42"/>
    <mergeCell ref="I43:K43"/>
    <mergeCell ref="A45:B45"/>
    <mergeCell ref="I44:K44"/>
    <mergeCell ref="A44:B44"/>
    <mergeCell ref="I45:K46"/>
    <mergeCell ref="A46:B46"/>
    <mergeCell ref="I37:K37"/>
    <mergeCell ref="I38:K38"/>
    <mergeCell ref="I40:K41"/>
    <mergeCell ref="A41:B41"/>
    <mergeCell ref="A39:B39"/>
    <mergeCell ref="I39:K39"/>
    <mergeCell ref="A38:B38"/>
    <mergeCell ref="A37:B37"/>
    <mergeCell ref="A57:B57"/>
    <mergeCell ref="A53:B53"/>
    <mergeCell ref="A54:B54"/>
    <mergeCell ref="A55:B55"/>
    <mergeCell ref="A56:B56"/>
    <mergeCell ref="A47:B47"/>
    <mergeCell ref="I49:K49"/>
    <mergeCell ref="A51:D51"/>
    <mergeCell ref="A48:B48"/>
    <mergeCell ref="I48:K48"/>
    <mergeCell ref="A49:B49"/>
  </mergeCells>
  <phoneticPr fontId="18" type="noConversion"/>
  <conditionalFormatting sqref="C28:H28">
    <cfRule type="cellIs" dxfId="25" priority="2" stopIfTrue="1" operator="greaterThan">
      <formula>0.0149</formula>
    </cfRule>
  </conditionalFormatting>
  <conditionalFormatting sqref="C30:H30">
    <cfRule type="cellIs" dxfId="24" priority="12" stopIfTrue="1" operator="lessThan">
      <formula>0.2</formula>
    </cfRule>
  </conditionalFormatting>
  <conditionalFormatting sqref="C35:H35">
    <cfRule type="cellIs" dxfId="23" priority="3" stopIfTrue="1" operator="greaterThan">
      <formula>0.0149</formula>
    </cfRule>
  </conditionalFormatting>
  <conditionalFormatting sqref="C43:H43">
    <cfRule type="cellIs" dxfId="22" priority="1" stopIfTrue="1" operator="lessThan">
      <formula>0.2</formula>
    </cfRule>
  </conditionalFormatting>
  <conditionalFormatting sqref="C47:H47">
    <cfRule type="cellIs" dxfId="21" priority="6" stopIfTrue="1" operator="lessThan">
      <formula>0</formula>
    </cfRule>
  </conditionalFormatting>
  <conditionalFormatting sqref="C49:H49">
    <cfRule type="cellIs" dxfId="20" priority="13" stopIfTrue="1" operator="equal">
      <formula>"Increase sediment store"</formula>
    </cfRule>
  </conditionalFormatting>
  <conditionalFormatting sqref="I26:K26">
    <cfRule type="expression" dxfId="19" priority="16" stopIfTrue="1">
      <formula>"if($L$27=""PUSH BUTTON"")"</formula>
    </cfRule>
  </conditionalFormatting>
  <dataValidations count="2">
    <dataValidation type="list" allowBlank="1" showInputMessage="1" showErrorMessage="1" sqref="C5:H5" xr:uid="{73271F59-826D-4631-AC52-2F6284A14EA2}">
      <formula1>$P$2:$P$4</formula1>
    </dataValidation>
    <dataValidation type="list" allowBlank="1" showInputMessage="1" showErrorMessage="1" sqref="C12:H12" xr:uid="{5BD425E5-7E7C-4324-B71F-EB3C2346A32A}">
      <formula1>$O$30:$O$36</formula1>
    </dataValidation>
  </dataValidations>
  <pageMargins left="0.74803149606299213" right="0.74803149606299213" top="0.98425196850393704" bottom="0.98425196850393704" header="0.47244094488188981" footer="0.51181102362204722"/>
  <pageSetup paperSize="9" scale="65"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58BA1-A7AD-4B23-AC9C-A85F1D6105E7}">
  <sheetPr codeName="Sheet8"/>
  <dimension ref="A1:U68"/>
  <sheetViews>
    <sheetView view="pageBreakPreview" zoomScaleNormal="115" zoomScaleSheetLayoutView="100" workbookViewId="0">
      <selection activeCell="C56" sqref="C56:E57"/>
    </sheetView>
  </sheetViews>
  <sheetFormatPr defaultRowHeight="12.75" x14ac:dyDescent="0.2"/>
  <cols>
    <col min="1" max="1" width="10.85546875" customWidth="1"/>
    <col min="2" max="2" width="21.5703125" customWidth="1"/>
    <col min="3" max="8" width="14.28515625" customWidth="1"/>
    <col min="9" max="9" width="8.7109375" customWidth="1"/>
    <col min="10" max="10" width="8.42578125" customWidth="1"/>
    <col min="11" max="11" width="25.85546875" customWidth="1"/>
    <col min="12" max="12" width="12.85546875" customWidth="1"/>
    <col min="13" max="13" width="21.28515625" customWidth="1"/>
    <col min="14" max="14" width="18.5703125" customWidth="1"/>
    <col min="15" max="15" width="17.140625" customWidth="1"/>
    <col min="16" max="16" width="19.7109375" customWidth="1"/>
    <col min="17" max="17" width="14.85546875" customWidth="1"/>
    <col min="19" max="19" width="14.28515625" bestFit="1" customWidth="1"/>
  </cols>
  <sheetData>
    <row r="1" spans="1:21" ht="24.75" customHeight="1" x14ac:dyDescent="0.25">
      <c r="A1" s="530" t="s">
        <v>205</v>
      </c>
      <c r="B1" s="531"/>
      <c r="C1" s="531"/>
      <c r="D1" s="531"/>
      <c r="E1" s="531"/>
      <c r="F1" s="531"/>
      <c r="G1" s="531"/>
      <c r="H1" s="531"/>
      <c r="M1" s="145"/>
      <c r="N1" s="145"/>
      <c r="O1" s="145"/>
      <c r="P1" s="403"/>
      <c r="Q1" s="403"/>
      <c r="R1" s="403"/>
      <c r="S1" s="403"/>
      <c r="T1" s="403"/>
      <c r="U1" s="403"/>
    </row>
    <row r="2" spans="1:21" ht="9.75" customHeight="1" thickBot="1" x14ac:dyDescent="0.3">
      <c r="B2" s="57"/>
      <c r="M2" s="145"/>
      <c r="N2" s="145"/>
      <c r="O2" s="145"/>
      <c r="P2" s="403"/>
      <c r="Q2" s="403"/>
      <c r="R2" s="403"/>
      <c r="S2" s="403"/>
      <c r="T2" s="403"/>
      <c r="U2" s="403"/>
    </row>
    <row r="3" spans="1:21" ht="13.5" thickBot="1" x14ac:dyDescent="0.25">
      <c r="A3" s="111"/>
      <c r="B3" s="112"/>
      <c r="C3" s="536" t="s">
        <v>43</v>
      </c>
      <c r="D3" s="537"/>
      <c r="E3" s="537"/>
      <c r="F3" s="537"/>
      <c r="G3" s="537"/>
      <c r="H3" s="537"/>
      <c r="I3" s="544" t="s">
        <v>44</v>
      </c>
      <c r="J3" s="545"/>
      <c r="K3" s="546"/>
      <c r="M3" s="145"/>
      <c r="N3" s="145"/>
      <c r="P3" s="403"/>
      <c r="Q3" s="403"/>
      <c r="R3" s="403"/>
      <c r="S3" s="403"/>
      <c r="T3" s="403"/>
      <c r="U3" s="403"/>
    </row>
    <row r="4" spans="1:21" ht="15.75" customHeight="1" thickBot="1" x14ac:dyDescent="0.25">
      <c r="A4" s="470" t="s">
        <v>130</v>
      </c>
      <c r="B4" s="541"/>
      <c r="C4" s="309"/>
      <c r="D4" s="312"/>
      <c r="E4" s="312"/>
      <c r="F4" s="312"/>
      <c r="G4" s="312"/>
      <c r="H4" s="312"/>
      <c r="I4" s="547" t="s">
        <v>362</v>
      </c>
      <c r="J4" s="548"/>
      <c r="K4" s="549"/>
      <c r="M4" s="145"/>
      <c r="N4" s="145"/>
      <c r="P4" s="403"/>
      <c r="Q4" s="403"/>
      <c r="R4" s="403"/>
      <c r="S4" s="403"/>
      <c r="T4" s="403"/>
      <c r="U4" s="403"/>
    </row>
    <row r="5" spans="1:21" ht="14.25" thickBot="1" x14ac:dyDescent="0.3">
      <c r="A5" s="592" t="s">
        <v>53</v>
      </c>
      <c r="B5" s="593"/>
      <c r="C5" s="73" t="str">
        <f>IF(C4="","",HLOOKUP(C4,'1. Erosion Haz + Basins'!$B$13:$G$14,2,FALSE))</f>
        <v/>
      </c>
      <c r="D5" s="167" t="str">
        <f>IF(D4="","",HLOOKUP(D4,'1. Erosion Haz + Basins'!$B$13:$G$14,2,FALSE))</f>
        <v/>
      </c>
      <c r="E5" s="167" t="str">
        <f>IF(E4="","",HLOOKUP(E4,'1. Erosion Haz + Basins'!$B$13:$G$14,2,FALSE))</f>
        <v/>
      </c>
      <c r="F5" s="167" t="str">
        <f>IF(F4="","",HLOOKUP(F4,'1. Erosion Haz + Basins'!$B$13:$G$14,2,FALSE))</f>
        <v/>
      </c>
      <c r="G5" s="167" t="str">
        <f>IF(G4="","",HLOOKUP(G4,'1. Erosion Haz + Basins'!$B$13:$G$14,2,FALSE))</f>
        <v/>
      </c>
      <c r="H5" s="167" t="str">
        <f>IF(H4="","",HLOOKUP(H4,'1. Erosion Haz + Basins'!$B$13:$G$14,2,FALSE))</f>
        <v/>
      </c>
      <c r="I5" s="589" t="s">
        <v>338</v>
      </c>
      <c r="J5" s="590"/>
      <c r="K5" s="591"/>
      <c r="M5" s="145"/>
      <c r="N5" s="145"/>
      <c r="P5" s="403"/>
      <c r="Q5" s="403"/>
      <c r="R5" s="403"/>
      <c r="S5" s="403"/>
      <c r="T5" s="403"/>
      <c r="U5" s="403"/>
    </row>
    <row r="6" spans="1:21" ht="15.75" customHeight="1" thickBot="1" x14ac:dyDescent="0.25">
      <c r="A6" s="509" t="s">
        <v>133</v>
      </c>
      <c r="B6" s="518"/>
      <c r="C6" s="133" t="s">
        <v>134</v>
      </c>
      <c r="D6" s="114"/>
      <c r="E6" s="114"/>
      <c r="F6" s="114"/>
      <c r="G6" s="114"/>
      <c r="H6" s="114"/>
      <c r="I6" s="130"/>
      <c r="J6" s="130"/>
      <c r="K6" s="131"/>
      <c r="M6" s="145"/>
      <c r="N6" s="403"/>
      <c r="O6" s="403"/>
      <c r="P6" s="403"/>
      <c r="Q6" s="403"/>
      <c r="R6" s="403"/>
      <c r="S6" s="403"/>
      <c r="T6" s="403"/>
      <c r="U6" s="403"/>
    </row>
    <row r="7" spans="1:21" ht="15" customHeight="1" x14ac:dyDescent="0.25">
      <c r="A7" s="514" t="s">
        <v>228</v>
      </c>
      <c r="B7" s="515"/>
      <c r="C7" s="67"/>
      <c r="D7" s="68"/>
      <c r="E7" s="68"/>
      <c r="F7" s="68"/>
      <c r="G7" s="68"/>
      <c r="H7" s="68"/>
      <c r="I7" s="526" t="s">
        <v>135</v>
      </c>
      <c r="J7" s="527"/>
      <c r="K7" s="528"/>
      <c r="M7" s="145"/>
      <c r="N7" s="403"/>
      <c r="O7" s="403"/>
      <c r="P7" s="403"/>
      <c r="Q7" s="403"/>
      <c r="R7" s="403"/>
      <c r="S7" s="403"/>
      <c r="T7" s="403"/>
      <c r="U7" s="403"/>
    </row>
    <row r="8" spans="1:21" ht="15" customHeight="1" thickBot="1" x14ac:dyDescent="0.3">
      <c r="A8" s="584" t="s">
        <v>227</v>
      </c>
      <c r="B8" s="564"/>
      <c r="C8" s="297" t="str">
        <f t="shared" ref="C8:H8" si="0">IF(C7="","",0.5*C7)</f>
        <v/>
      </c>
      <c r="D8" s="160" t="str">
        <f t="shared" si="0"/>
        <v/>
      </c>
      <c r="E8" s="160" t="str">
        <f t="shared" si="0"/>
        <v/>
      </c>
      <c r="F8" s="160" t="str">
        <f t="shared" si="0"/>
        <v/>
      </c>
      <c r="G8" s="160" t="str">
        <f t="shared" si="0"/>
        <v/>
      </c>
      <c r="H8" s="160" t="str">
        <f t="shared" si="0"/>
        <v/>
      </c>
      <c r="I8" s="584" t="s">
        <v>136</v>
      </c>
      <c r="J8" s="563"/>
      <c r="K8" s="564"/>
      <c r="M8" s="145"/>
      <c r="N8" s="403"/>
      <c r="O8" s="403"/>
      <c r="P8" s="403"/>
      <c r="Q8" s="403"/>
      <c r="R8" s="403"/>
      <c r="S8" s="403"/>
      <c r="T8" s="403"/>
      <c r="U8" s="403"/>
    </row>
    <row r="9" spans="1:21" ht="15" customHeight="1" thickBot="1" x14ac:dyDescent="0.25">
      <c r="A9" s="509" t="s">
        <v>113</v>
      </c>
      <c r="B9" s="518"/>
      <c r="I9" s="285"/>
      <c r="J9" s="285"/>
      <c r="K9" s="286"/>
      <c r="M9" s="145"/>
      <c r="N9" s="403"/>
      <c r="O9" s="403"/>
      <c r="P9" s="403"/>
      <c r="Q9" s="403"/>
      <c r="R9" s="403"/>
      <c r="S9" s="403"/>
      <c r="T9" s="403"/>
      <c r="U9" s="403"/>
    </row>
    <row r="10" spans="1:21" ht="15.75" customHeight="1" x14ac:dyDescent="0.25">
      <c r="A10" s="514" t="s">
        <v>379</v>
      </c>
      <c r="B10" s="515"/>
      <c r="C10" s="367"/>
      <c r="D10" s="368"/>
      <c r="E10" s="368"/>
      <c r="F10" s="368"/>
      <c r="G10" s="368"/>
      <c r="H10" s="368"/>
      <c r="I10" s="514" t="s">
        <v>116</v>
      </c>
      <c r="J10" s="523"/>
      <c r="K10" s="515"/>
      <c r="M10" s="145"/>
      <c r="N10" s="403"/>
      <c r="O10" s="403"/>
      <c r="P10" s="403"/>
      <c r="Q10" s="403"/>
      <c r="R10" s="403"/>
      <c r="S10" s="403"/>
      <c r="T10" s="403"/>
      <c r="U10" s="403"/>
    </row>
    <row r="11" spans="1:21" ht="15.75" customHeight="1" thickBot="1" x14ac:dyDescent="0.3">
      <c r="A11" s="584" t="s">
        <v>293</v>
      </c>
      <c r="B11" s="564"/>
      <c r="C11" s="369"/>
      <c r="D11" s="370"/>
      <c r="E11" s="370"/>
      <c r="F11" s="370"/>
      <c r="G11" s="370"/>
      <c r="H11" s="370"/>
      <c r="I11" s="584" t="s">
        <v>253</v>
      </c>
      <c r="J11" s="563"/>
      <c r="K11" s="564"/>
      <c r="M11" s="145"/>
      <c r="N11" s="145"/>
      <c r="O11" s="145"/>
      <c r="P11" s="403"/>
      <c r="Q11" s="403"/>
      <c r="R11" s="403"/>
      <c r="S11" s="403"/>
      <c r="T11" s="403"/>
      <c r="U11" s="403"/>
    </row>
    <row r="12" spans="1:21" ht="15" customHeight="1" thickBot="1" x14ac:dyDescent="0.3">
      <c r="A12" s="509" t="s">
        <v>127</v>
      </c>
      <c r="B12" s="518"/>
      <c r="C12" s="216" t="s">
        <v>128</v>
      </c>
      <c r="D12" s="205"/>
      <c r="E12" s="205"/>
      <c r="F12" s="205"/>
      <c r="G12" s="205"/>
      <c r="H12" s="205"/>
      <c r="I12" s="206"/>
      <c r="J12" s="206"/>
      <c r="K12" s="207"/>
      <c r="M12" s="145"/>
      <c r="N12" s="145"/>
      <c r="O12" s="403"/>
      <c r="P12" s="403"/>
      <c r="Q12" s="403"/>
      <c r="R12" s="403"/>
      <c r="S12" s="403"/>
      <c r="T12" s="403"/>
      <c r="U12" s="403"/>
    </row>
    <row r="13" spans="1:21" ht="15.75" customHeight="1" x14ac:dyDescent="0.25">
      <c r="A13" s="526" t="s">
        <v>263</v>
      </c>
      <c r="B13" s="528"/>
      <c r="C13" s="316"/>
      <c r="D13" s="74"/>
      <c r="E13" s="74"/>
      <c r="F13" s="74"/>
      <c r="G13" s="74"/>
      <c r="H13" s="320"/>
      <c r="I13" s="527" t="s">
        <v>339</v>
      </c>
      <c r="J13" s="527"/>
      <c r="K13" s="528"/>
      <c r="M13" s="145"/>
      <c r="N13" s="145"/>
      <c r="O13" s="145" t="s">
        <v>127</v>
      </c>
      <c r="P13" s="403"/>
      <c r="Q13" s="403"/>
      <c r="R13" s="403"/>
      <c r="S13" s="403"/>
      <c r="T13" s="403"/>
      <c r="U13" s="403"/>
    </row>
    <row r="14" spans="1:21" ht="15.75" customHeight="1" x14ac:dyDescent="0.25">
      <c r="A14" s="504" t="s">
        <v>231</v>
      </c>
      <c r="B14" s="505"/>
      <c r="C14" s="180" t="str">
        <f t="shared" ref="C14:H14" si="1">IF(C13="","",VLOOKUP(C13,$P$23:$Q$28,2,FALSE))</f>
        <v/>
      </c>
      <c r="D14" s="150" t="str">
        <f t="shared" si="1"/>
        <v/>
      </c>
      <c r="E14" s="150" t="str">
        <f t="shared" si="1"/>
        <v/>
      </c>
      <c r="F14" s="150" t="str">
        <f t="shared" si="1"/>
        <v/>
      </c>
      <c r="G14" s="150" t="str">
        <f t="shared" si="1"/>
        <v/>
      </c>
      <c r="H14" s="181" t="str">
        <f t="shared" si="1"/>
        <v/>
      </c>
      <c r="I14" s="511" t="s">
        <v>340</v>
      </c>
      <c r="J14" s="511"/>
      <c r="K14" s="505"/>
      <c r="M14" s="145"/>
      <c r="N14" s="145"/>
      <c r="O14" s="145" t="s">
        <v>240</v>
      </c>
      <c r="P14" s="403"/>
      <c r="Q14" s="403"/>
      <c r="R14" s="403"/>
      <c r="S14" s="403"/>
      <c r="T14" s="403"/>
      <c r="U14" s="403"/>
    </row>
    <row r="15" spans="1:21" ht="15.75" customHeight="1" x14ac:dyDescent="0.25">
      <c r="A15" s="504" t="s">
        <v>232</v>
      </c>
      <c r="B15" s="505"/>
      <c r="C15" s="256" t="str">
        <f>IF(C13="","",C14*C8)</f>
        <v/>
      </c>
      <c r="D15" s="169" t="str">
        <f>IF(D14="","",D14*D8)</f>
        <v/>
      </c>
      <c r="E15" s="169" t="str">
        <f>IF(E14="","",E14*E8)</f>
        <v/>
      </c>
      <c r="F15" s="169" t="str">
        <f>IF(F14="","",F14*F8)</f>
        <v/>
      </c>
      <c r="G15" s="169" t="str">
        <f>IF(G14="","",G14*G8)</f>
        <v/>
      </c>
      <c r="H15" s="257" t="str">
        <f>IF(H14="","",H14*H8)</f>
        <v/>
      </c>
      <c r="I15" s="511" t="s">
        <v>307</v>
      </c>
      <c r="J15" s="511"/>
      <c r="K15" s="505"/>
      <c r="L15" s="91"/>
      <c r="M15" s="145"/>
      <c r="N15" s="145"/>
      <c r="O15" s="145" t="s">
        <v>141</v>
      </c>
      <c r="P15" s="403"/>
      <c r="Q15" s="403"/>
      <c r="R15" s="403"/>
      <c r="S15" s="403"/>
      <c r="T15" s="403"/>
      <c r="U15" s="403"/>
    </row>
    <row r="16" spans="1:21" ht="13.5" x14ac:dyDescent="0.25">
      <c r="A16" s="504" t="s">
        <v>233</v>
      </c>
      <c r="B16" s="505"/>
      <c r="C16" s="263" t="str">
        <f t="shared" ref="C16:H16" si="2">IF(C13="","",VLOOKUP(C13,$P$23:$R$28,3,FALSE))</f>
        <v/>
      </c>
      <c r="D16" s="154" t="str">
        <f t="shared" si="2"/>
        <v/>
      </c>
      <c r="E16" s="154" t="str">
        <f t="shared" si="2"/>
        <v/>
      </c>
      <c r="F16" s="154" t="str">
        <f t="shared" si="2"/>
        <v/>
      </c>
      <c r="G16" s="154" t="str">
        <f t="shared" si="2"/>
        <v/>
      </c>
      <c r="H16" s="264" t="str">
        <f t="shared" si="2"/>
        <v/>
      </c>
      <c r="I16" s="511" t="s">
        <v>341</v>
      </c>
      <c r="J16" s="511"/>
      <c r="K16" s="505"/>
      <c r="M16" s="145"/>
      <c r="N16" s="145"/>
      <c r="O16" s="145"/>
      <c r="P16" s="403"/>
      <c r="Q16" s="403"/>
      <c r="R16" s="403"/>
      <c r="S16" s="403"/>
      <c r="T16" s="403"/>
      <c r="U16" s="403"/>
    </row>
    <row r="17" spans="1:21" ht="13.5" x14ac:dyDescent="0.25">
      <c r="A17" s="504" t="s">
        <v>368</v>
      </c>
      <c r="B17" s="505"/>
      <c r="C17" s="263" t="str">
        <f t="shared" ref="C17:H17" si="3">IF(C13="","",C16*C15)</f>
        <v/>
      </c>
      <c r="D17" s="154" t="str">
        <f t="shared" si="3"/>
        <v/>
      </c>
      <c r="E17" s="154" t="str">
        <f t="shared" si="3"/>
        <v/>
      </c>
      <c r="F17" s="154" t="str">
        <f t="shared" si="3"/>
        <v/>
      </c>
      <c r="G17" s="154" t="str">
        <f t="shared" si="3"/>
        <v/>
      </c>
      <c r="H17" s="264" t="str">
        <f t="shared" si="3"/>
        <v/>
      </c>
      <c r="I17" s="138"/>
      <c r="J17" s="138"/>
      <c r="K17" s="139"/>
      <c r="M17" s="145"/>
      <c r="N17" s="145"/>
      <c r="O17" s="145"/>
      <c r="P17" s="403"/>
      <c r="Q17" s="403"/>
      <c r="R17" s="403"/>
      <c r="S17" s="403"/>
      <c r="T17" s="403"/>
      <c r="U17" s="403"/>
    </row>
    <row r="18" spans="1:21" ht="13.5" x14ac:dyDescent="0.25">
      <c r="A18" s="504" t="s">
        <v>234</v>
      </c>
      <c r="B18" s="505"/>
      <c r="C18" s="289" t="str">
        <f t="shared" ref="C18:H18" si="4">IF(C13="","",VLOOKUP(C13,$P$23:$S$28,4,FALSE))</f>
        <v/>
      </c>
      <c r="D18" s="151" t="str">
        <f t="shared" si="4"/>
        <v/>
      </c>
      <c r="E18" s="151" t="str">
        <f t="shared" si="4"/>
        <v/>
      </c>
      <c r="F18" s="151" t="str">
        <f t="shared" si="4"/>
        <v/>
      </c>
      <c r="G18" s="151" t="str">
        <f t="shared" si="4"/>
        <v/>
      </c>
      <c r="H18" s="290" t="str">
        <f t="shared" si="4"/>
        <v/>
      </c>
      <c r="I18" s="511" t="s">
        <v>342</v>
      </c>
      <c r="J18" s="511"/>
      <c r="K18" s="505"/>
      <c r="L18" s="340"/>
      <c r="M18" s="145"/>
      <c r="N18" s="145"/>
      <c r="O18" s="145"/>
      <c r="P18" s="403"/>
      <c r="Q18" s="403"/>
      <c r="R18" s="403"/>
      <c r="S18" s="403"/>
      <c r="T18" s="403"/>
      <c r="U18" s="403"/>
    </row>
    <row r="19" spans="1:21" ht="13.5" x14ac:dyDescent="0.25">
      <c r="A19" s="504" t="s">
        <v>235</v>
      </c>
      <c r="B19" s="505"/>
      <c r="C19" s="258" t="str">
        <f t="shared" ref="C19:H19" si="5">IF(C13="","",(C15/C10)^0.5)</f>
        <v/>
      </c>
      <c r="D19" s="157" t="str">
        <f t="shared" si="5"/>
        <v/>
      </c>
      <c r="E19" s="157" t="str">
        <f t="shared" si="5"/>
        <v/>
      </c>
      <c r="F19" s="157" t="str">
        <f t="shared" si="5"/>
        <v/>
      </c>
      <c r="G19" s="157" t="str">
        <f t="shared" si="5"/>
        <v/>
      </c>
      <c r="H19" s="259" t="str">
        <f t="shared" si="5"/>
        <v/>
      </c>
      <c r="I19" s="511" t="s">
        <v>117</v>
      </c>
      <c r="J19" s="511"/>
      <c r="K19" s="505"/>
      <c r="M19" s="145"/>
      <c r="N19" s="145"/>
      <c r="O19" s="145"/>
      <c r="P19" s="403"/>
      <c r="Q19" s="403"/>
      <c r="R19" s="403"/>
      <c r="S19" s="403"/>
      <c r="T19" s="403"/>
      <c r="U19" s="403"/>
    </row>
    <row r="20" spans="1:21" ht="15" customHeight="1" x14ac:dyDescent="0.25">
      <c r="A20" s="504" t="s">
        <v>236</v>
      </c>
      <c r="B20" s="505"/>
      <c r="C20" s="258" t="str">
        <f t="shared" ref="C20:H20" si="6">IF(C13="","",C10*C19)</f>
        <v/>
      </c>
      <c r="D20" s="157" t="str">
        <f t="shared" si="6"/>
        <v/>
      </c>
      <c r="E20" s="157" t="str">
        <f t="shared" si="6"/>
        <v/>
      </c>
      <c r="F20" s="157" t="str">
        <f t="shared" si="6"/>
        <v/>
      </c>
      <c r="G20" s="157" t="str">
        <f t="shared" si="6"/>
        <v/>
      </c>
      <c r="H20" s="259" t="str">
        <f t="shared" si="6"/>
        <v/>
      </c>
      <c r="I20" s="511" t="s">
        <v>117</v>
      </c>
      <c r="J20" s="511"/>
      <c r="K20" s="505"/>
      <c r="M20" s="145"/>
      <c r="N20" s="145"/>
      <c r="O20" s="145"/>
      <c r="P20" s="233" t="s">
        <v>142</v>
      </c>
      <c r="Q20" s="235"/>
      <c r="R20" s="235"/>
      <c r="S20" s="146"/>
      <c r="T20" s="146"/>
      <c r="U20" s="403"/>
    </row>
    <row r="21" spans="1:21" ht="42" customHeight="1" thickBot="1" x14ac:dyDescent="0.3">
      <c r="A21" s="506" t="s">
        <v>138</v>
      </c>
      <c r="B21" s="508"/>
      <c r="C21" s="371" t="str">
        <f t="shared" ref="C21:H21" si="7">IF(C20="","",IF(C20&lt;C18,"OK","Need Large Basin. Use method below"))</f>
        <v/>
      </c>
      <c r="D21" s="98" t="str">
        <f t="shared" si="7"/>
        <v/>
      </c>
      <c r="E21" s="98" t="str">
        <f t="shared" si="7"/>
        <v/>
      </c>
      <c r="F21" s="98" t="str">
        <f>IF(F20="","",IF(F20&lt;F18,"OK","Need Large Basin. Use method below"))</f>
        <v/>
      </c>
      <c r="G21" s="98" t="str">
        <f t="shared" si="7"/>
        <v/>
      </c>
      <c r="H21" s="390" t="str">
        <f t="shared" si="7"/>
        <v/>
      </c>
      <c r="I21" s="507" t="s">
        <v>145</v>
      </c>
      <c r="J21" s="507"/>
      <c r="K21" s="508"/>
      <c r="M21" s="145"/>
      <c r="N21" s="145"/>
      <c r="O21" s="145"/>
      <c r="P21" s="434" t="s">
        <v>129</v>
      </c>
      <c r="Q21" s="220" t="s">
        <v>131</v>
      </c>
      <c r="R21" s="220" t="s">
        <v>132</v>
      </c>
      <c r="S21" s="238" t="s">
        <v>137</v>
      </c>
      <c r="T21" s="146"/>
      <c r="U21" s="403"/>
    </row>
    <row r="22" spans="1:21" ht="16.5" customHeight="1" thickBot="1" x14ac:dyDescent="0.3">
      <c r="A22" s="587" t="s">
        <v>144</v>
      </c>
      <c r="B22" s="588"/>
      <c r="C22" s="571" t="s">
        <v>139</v>
      </c>
      <c r="D22" s="572"/>
      <c r="E22" s="572"/>
      <c r="F22" s="572"/>
      <c r="G22" s="572"/>
      <c r="H22" s="572"/>
      <c r="I22" s="572"/>
      <c r="J22" s="572"/>
      <c r="K22" s="573"/>
      <c r="M22" s="145"/>
      <c r="N22" s="145"/>
      <c r="O22" s="228"/>
      <c r="P22" s="227"/>
      <c r="Q22" s="146"/>
      <c r="R22" s="221"/>
      <c r="S22" s="146"/>
      <c r="T22" s="146"/>
      <c r="U22" s="403"/>
    </row>
    <row r="23" spans="1:21" ht="17.25" customHeight="1" x14ac:dyDescent="0.25">
      <c r="A23" s="526" t="s">
        <v>237</v>
      </c>
      <c r="B23" s="528"/>
      <c r="C23" s="372"/>
      <c r="D23" s="372"/>
      <c r="E23" s="372"/>
      <c r="F23" s="372"/>
      <c r="G23" s="372"/>
      <c r="H23" s="372"/>
      <c r="I23" s="569" t="s">
        <v>386</v>
      </c>
      <c r="J23" s="570"/>
      <c r="K23" s="488"/>
      <c r="M23" s="145"/>
      <c r="N23" s="145"/>
      <c r="O23" s="145"/>
      <c r="P23" s="227">
        <v>50</v>
      </c>
      <c r="Q23" s="221">
        <v>24000</v>
      </c>
      <c r="R23" s="221">
        <v>0.5</v>
      </c>
      <c r="S23" s="221">
        <v>180</v>
      </c>
      <c r="T23" s="219"/>
      <c r="U23" s="403"/>
    </row>
    <row r="24" spans="1:21" ht="15" x14ac:dyDescent="0.25">
      <c r="A24" s="504" t="s">
        <v>376</v>
      </c>
      <c r="B24" s="505"/>
      <c r="C24" s="376"/>
      <c r="D24" s="376"/>
      <c r="E24" s="376"/>
      <c r="F24" s="376"/>
      <c r="G24" s="376"/>
      <c r="H24" s="376"/>
      <c r="I24" s="560"/>
      <c r="J24" s="561"/>
      <c r="K24" s="562"/>
      <c r="M24" s="145"/>
      <c r="N24" s="145"/>
      <c r="O24" s="145"/>
      <c r="P24" s="227">
        <v>75</v>
      </c>
      <c r="Q24" s="221">
        <v>16000</v>
      </c>
      <c r="R24" s="221">
        <v>0.5</v>
      </c>
      <c r="S24" s="221">
        <v>120</v>
      </c>
      <c r="T24" s="219"/>
      <c r="U24" s="403"/>
    </row>
    <row r="25" spans="1:21" ht="15" customHeight="1" x14ac:dyDescent="0.25">
      <c r="A25" s="526" t="s">
        <v>377</v>
      </c>
      <c r="B25" s="528"/>
      <c r="C25" s="154" t="str">
        <f t="shared" ref="C25:H25" si="8">IF(C24="","",C10*C24)</f>
        <v/>
      </c>
      <c r="D25" s="154" t="str">
        <f t="shared" si="8"/>
        <v/>
      </c>
      <c r="E25" s="154" t="str">
        <f t="shared" si="8"/>
        <v/>
      </c>
      <c r="F25" s="154" t="str">
        <f t="shared" si="8"/>
        <v/>
      </c>
      <c r="G25" s="154" t="str">
        <f t="shared" si="8"/>
        <v/>
      </c>
      <c r="H25" s="154" t="str">
        <f t="shared" si="8"/>
        <v/>
      </c>
      <c r="I25" s="504" t="s">
        <v>140</v>
      </c>
      <c r="J25" s="511"/>
      <c r="K25" s="505"/>
      <c r="L25" s="342"/>
      <c r="M25" s="145"/>
      <c r="N25" s="145"/>
      <c r="O25" s="145"/>
      <c r="P25" s="227">
        <v>100</v>
      </c>
      <c r="Q25" s="221">
        <v>12000</v>
      </c>
      <c r="R25" s="221">
        <v>0.5</v>
      </c>
      <c r="S25" s="221">
        <v>90</v>
      </c>
      <c r="T25" s="219"/>
      <c r="U25" s="403"/>
    </row>
    <row r="26" spans="1:21" ht="15" customHeight="1" x14ac:dyDescent="0.25">
      <c r="A26" s="504" t="s">
        <v>363</v>
      </c>
      <c r="B26" s="505"/>
      <c r="C26" s="404" t="str">
        <f t="shared" ref="C26:H26" si="9">IF(C23="","",(C8/(C23*C24)))</f>
        <v/>
      </c>
      <c r="D26" s="404" t="str">
        <f>IF(D23="","",(D8/(D23*D24)))</f>
        <v/>
      </c>
      <c r="E26" s="404" t="str">
        <f t="shared" si="9"/>
        <v/>
      </c>
      <c r="F26" s="404" t="str">
        <f t="shared" si="9"/>
        <v/>
      </c>
      <c r="G26" s="404" t="str">
        <f t="shared" si="9"/>
        <v/>
      </c>
      <c r="H26" s="404" t="str">
        <f t="shared" si="9"/>
        <v/>
      </c>
      <c r="I26" s="504" t="s">
        <v>364</v>
      </c>
      <c r="J26" s="511"/>
      <c r="K26" s="505"/>
      <c r="M26" s="145"/>
      <c r="N26" s="145"/>
      <c r="O26" s="145"/>
      <c r="P26" s="227">
        <v>150</v>
      </c>
      <c r="Q26" s="221">
        <v>8000</v>
      </c>
      <c r="R26" s="221">
        <v>0.68</v>
      </c>
      <c r="S26" s="221">
        <v>81</v>
      </c>
      <c r="T26" s="219"/>
      <c r="U26" s="403"/>
    </row>
    <row r="27" spans="1:21" ht="15" customHeight="1" x14ac:dyDescent="0.25">
      <c r="A27" s="504" t="s">
        <v>375</v>
      </c>
      <c r="B27" s="505"/>
      <c r="C27" s="157" t="str">
        <f t="shared" ref="C27:H27" si="10">IF(C23="","",C25/C26/60)</f>
        <v/>
      </c>
      <c r="D27" s="157" t="str">
        <f t="shared" si="10"/>
        <v/>
      </c>
      <c r="E27" s="157" t="str">
        <f>IF(E23="","",E25/E26/60)</f>
        <v/>
      </c>
      <c r="F27" s="157" t="str">
        <f t="shared" si="10"/>
        <v/>
      </c>
      <c r="G27" s="157" t="str">
        <f t="shared" si="10"/>
        <v/>
      </c>
      <c r="H27" s="157" t="str">
        <f t="shared" si="10"/>
        <v/>
      </c>
      <c r="I27" s="504" t="s">
        <v>387</v>
      </c>
      <c r="J27" s="511"/>
      <c r="K27" s="505"/>
      <c r="M27" s="145"/>
      <c r="N27" s="145"/>
      <c r="O27" s="145"/>
      <c r="P27" s="227">
        <v>200</v>
      </c>
      <c r="Q27" s="221">
        <v>6000</v>
      </c>
      <c r="R27" s="221">
        <v>0.9</v>
      </c>
      <c r="S27" s="221">
        <v>81</v>
      </c>
      <c r="T27" s="219"/>
      <c r="U27" s="403"/>
    </row>
    <row r="28" spans="1:21" ht="15" customHeight="1" x14ac:dyDescent="0.25">
      <c r="A28" s="504" t="s">
        <v>382</v>
      </c>
      <c r="B28" s="505"/>
      <c r="C28" s="154" t="str">
        <f t="shared" ref="C28:H28" si="11">IF(C23="","",1/C14*(C27*60))</f>
        <v/>
      </c>
      <c r="D28" s="154" t="str">
        <f>IF(D23="","",1/D14*(D27*60))</f>
        <v/>
      </c>
      <c r="E28" s="154" t="str">
        <f t="shared" si="11"/>
        <v/>
      </c>
      <c r="F28" s="154" t="str">
        <f t="shared" si="11"/>
        <v/>
      </c>
      <c r="G28" s="154" t="str">
        <f t="shared" si="11"/>
        <v/>
      </c>
      <c r="H28" s="154" t="str">
        <f t="shared" si="11"/>
        <v/>
      </c>
      <c r="I28" s="504" t="s">
        <v>380</v>
      </c>
      <c r="J28" s="511"/>
      <c r="K28" s="505"/>
      <c r="M28" s="145"/>
      <c r="N28" s="145"/>
      <c r="O28" s="145"/>
      <c r="P28" s="240">
        <v>300</v>
      </c>
      <c r="Q28" s="221">
        <v>4000</v>
      </c>
      <c r="R28" s="225">
        <v>1.35</v>
      </c>
      <c r="S28" s="225">
        <v>81</v>
      </c>
      <c r="T28" s="145"/>
      <c r="U28" s="145"/>
    </row>
    <row r="29" spans="1:21" ht="15" customHeight="1" x14ac:dyDescent="0.25">
      <c r="A29" s="504" t="s">
        <v>383</v>
      </c>
      <c r="B29" s="505"/>
      <c r="C29" s="154" t="str">
        <f t="shared" ref="C29:H29" si="12">IF(C23="","",C25*C24)</f>
        <v/>
      </c>
      <c r="D29" s="154" t="str">
        <f>IF(D23="","",D25*D24)</f>
        <v/>
      </c>
      <c r="E29" s="154" t="str">
        <f t="shared" si="12"/>
        <v/>
      </c>
      <c r="F29" s="154" t="str">
        <f t="shared" si="12"/>
        <v/>
      </c>
      <c r="G29" s="154" t="str">
        <f t="shared" si="12"/>
        <v/>
      </c>
      <c r="H29" s="154" t="str">
        <f t="shared" si="12"/>
        <v/>
      </c>
      <c r="I29" s="504" t="s">
        <v>374</v>
      </c>
      <c r="J29" s="511"/>
      <c r="K29" s="505"/>
      <c r="M29" s="145"/>
      <c r="N29" s="145"/>
      <c r="O29" s="145"/>
      <c r="P29" s="145"/>
      <c r="Q29" s="224"/>
      <c r="R29" s="145"/>
      <c r="S29" s="145"/>
      <c r="T29" s="145"/>
      <c r="U29" s="145"/>
    </row>
    <row r="30" spans="1:21" ht="15" customHeight="1" x14ac:dyDescent="0.25">
      <c r="A30" s="504" t="s">
        <v>368</v>
      </c>
      <c r="B30" s="505"/>
      <c r="C30" s="154" t="str">
        <f t="shared" ref="C30:H30" si="13">IF(C23="","",C29*C23)</f>
        <v/>
      </c>
      <c r="D30" s="154" t="str">
        <f>IF(D23="","",D29*D23)</f>
        <v/>
      </c>
      <c r="E30" s="154" t="str">
        <f t="shared" si="13"/>
        <v/>
      </c>
      <c r="F30" s="154" t="str">
        <f t="shared" si="13"/>
        <v/>
      </c>
      <c r="G30" s="154" t="str">
        <f t="shared" si="13"/>
        <v/>
      </c>
      <c r="H30" s="154" t="str">
        <f t="shared" si="13"/>
        <v/>
      </c>
      <c r="I30" s="504" t="s">
        <v>381</v>
      </c>
      <c r="J30" s="511"/>
      <c r="K30" s="505"/>
      <c r="M30" s="145"/>
      <c r="N30" s="145"/>
      <c r="O30" s="145"/>
      <c r="P30" s="145"/>
      <c r="Q30" s="145"/>
      <c r="R30" s="145"/>
      <c r="S30" s="145"/>
      <c r="T30" s="145"/>
      <c r="U30" s="145"/>
    </row>
    <row r="31" spans="1:21" s="402" customFormat="1" ht="30" customHeight="1" thickBot="1" x14ac:dyDescent="0.3">
      <c r="A31" s="529" t="s">
        <v>378</v>
      </c>
      <c r="B31" s="522"/>
      <c r="C31" s="405" t="str">
        <f t="shared" ref="C31:H31" si="14">IF(C23="","",IF(C26&gt;0.015,"Velocity too high, increase Ds or Ws",IF(C28&lt;C23,"Particles don’t settle, increase Ws", "OK")))</f>
        <v/>
      </c>
      <c r="D31" s="405" t="str">
        <f t="shared" si="14"/>
        <v/>
      </c>
      <c r="E31" s="405" t="str">
        <f t="shared" si="14"/>
        <v/>
      </c>
      <c r="F31" s="405" t="str">
        <f t="shared" si="14"/>
        <v/>
      </c>
      <c r="G31" s="405" t="str">
        <f t="shared" si="14"/>
        <v/>
      </c>
      <c r="H31" s="405" t="str">
        <f t="shared" si="14"/>
        <v/>
      </c>
      <c r="I31" s="406"/>
      <c r="J31" s="407"/>
      <c r="K31" s="408"/>
      <c r="M31" s="145"/>
      <c r="N31" s="145"/>
      <c r="O31" s="145"/>
      <c r="P31" s="145"/>
      <c r="Q31" s="145"/>
      <c r="R31" s="145"/>
      <c r="S31" s="145"/>
      <c r="T31" s="219"/>
      <c r="U31" s="403"/>
    </row>
    <row r="32" spans="1:21" ht="15" customHeight="1" thickBot="1" x14ac:dyDescent="0.3">
      <c r="A32" s="587" t="s">
        <v>141</v>
      </c>
      <c r="B32" s="588"/>
      <c r="C32" s="571" t="s">
        <v>128</v>
      </c>
      <c r="D32" s="572"/>
      <c r="E32" s="572"/>
      <c r="F32" s="572"/>
      <c r="G32" s="572"/>
      <c r="H32" s="572"/>
      <c r="I32" s="572"/>
      <c r="J32" s="572"/>
      <c r="K32" s="573"/>
      <c r="M32" s="145"/>
      <c r="N32" s="145"/>
      <c r="O32" s="145"/>
      <c r="P32" s="145"/>
      <c r="Q32" s="145"/>
      <c r="R32" s="145"/>
      <c r="S32" s="145"/>
      <c r="T32" s="219"/>
      <c r="U32" s="145"/>
    </row>
    <row r="33" spans="1:21" ht="15" customHeight="1" x14ac:dyDescent="0.3">
      <c r="A33" s="514" t="s">
        <v>366</v>
      </c>
      <c r="B33" s="523"/>
      <c r="C33" s="374"/>
      <c r="D33" s="375"/>
      <c r="E33" s="375"/>
      <c r="F33" s="375"/>
      <c r="G33" s="375"/>
      <c r="H33" s="420"/>
      <c r="I33" s="514" t="s">
        <v>365</v>
      </c>
      <c r="J33" s="523"/>
      <c r="K33" s="515"/>
      <c r="M33" s="145"/>
      <c r="N33" s="145"/>
      <c r="O33" s="145"/>
      <c r="P33" s="145"/>
      <c r="Q33" s="147"/>
      <c r="R33" s="147"/>
      <c r="S33" s="145"/>
      <c r="T33" s="219"/>
      <c r="U33" s="145"/>
    </row>
    <row r="34" spans="1:21" ht="15" customHeight="1" x14ac:dyDescent="0.25">
      <c r="A34" s="582" t="s">
        <v>233</v>
      </c>
      <c r="B34" s="583"/>
      <c r="C34" s="409"/>
      <c r="D34" s="410"/>
      <c r="E34" s="410"/>
      <c r="F34" s="410"/>
      <c r="G34" s="410"/>
      <c r="H34" s="421"/>
      <c r="I34" s="504" t="s">
        <v>372</v>
      </c>
      <c r="J34" s="511"/>
      <c r="K34" s="505"/>
      <c r="M34" s="145"/>
      <c r="N34" s="232" t="s">
        <v>164</v>
      </c>
      <c r="O34" s="234">
        <f>'1. Erosion Haz + Basins'!B13</f>
        <v>0</v>
      </c>
      <c r="P34" s="234">
        <f>'1. Erosion Haz + Basins'!C13</f>
        <v>0</v>
      </c>
      <c r="Q34" s="234">
        <f>'1. Erosion Haz + Basins'!D13</f>
        <v>0</v>
      </c>
      <c r="R34" s="234">
        <f>'1. Erosion Haz + Basins'!E13</f>
        <v>0</v>
      </c>
      <c r="S34" s="234">
        <f>'1. Erosion Haz + Basins'!F13</f>
        <v>0</v>
      </c>
      <c r="T34" s="234">
        <f>'1. Erosion Haz + Basins'!G13</f>
        <v>0</v>
      </c>
      <c r="U34" s="145"/>
    </row>
    <row r="35" spans="1:21" ht="15" customHeight="1" x14ac:dyDescent="0.25">
      <c r="A35" s="582" t="s">
        <v>263</v>
      </c>
      <c r="B35" s="583"/>
      <c r="C35" s="288"/>
      <c r="D35" s="75"/>
      <c r="E35" s="75"/>
      <c r="F35" s="75"/>
      <c r="G35" s="75"/>
      <c r="H35" s="202"/>
      <c r="I35" s="504" t="s">
        <v>339</v>
      </c>
      <c r="J35" s="511"/>
      <c r="K35" s="505"/>
      <c r="M35" s="145"/>
      <c r="N35" s="222" t="s">
        <v>165</v>
      </c>
      <c r="O35" s="149" t="str">
        <f>'1. Erosion Haz + Basins'!B40</f>
        <v/>
      </c>
      <c r="P35" s="149" t="str">
        <f>'1. Erosion Haz + Basins'!C40</f>
        <v/>
      </c>
      <c r="Q35" s="149" t="str">
        <f>'1. Erosion Haz + Basins'!D40</f>
        <v/>
      </c>
      <c r="R35" s="149" t="str">
        <f>'1. Erosion Haz + Basins'!E40</f>
        <v/>
      </c>
      <c r="S35" s="149" t="str">
        <f>'1. Erosion Haz + Basins'!F40</f>
        <v/>
      </c>
      <c r="T35" s="149" t="str">
        <f>'1. Erosion Haz + Basins'!G40</f>
        <v/>
      </c>
      <c r="U35" s="145"/>
    </row>
    <row r="36" spans="1:21" ht="15" customHeight="1" x14ac:dyDescent="0.25">
      <c r="A36" s="504" t="s">
        <v>231</v>
      </c>
      <c r="B36" s="511"/>
      <c r="C36" s="180" t="str">
        <f t="shared" ref="C36:H36" si="15">IF(C35="","",VLOOKUP(C35,$P$23:$Q$28,2,FALSE))</f>
        <v/>
      </c>
      <c r="D36" s="150" t="str">
        <f t="shared" si="15"/>
        <v/>
      </c>
      <c r="E36" s="150" t="str">
        <f t="shared" si="15"/>
        <v/>
      </c>
      <c r="F36" s="150" t="str">
        <f t="shared" si="15"/>
        <v/>
      </c>
      <c r="G36" s="150" t="str">
        <f t="shared" si="15"/>
        <v/>
      </c>
      <c r="H36" s="181" t="str">
        <f t="shared" si="15"/>
        <v/>
      </c>
      <c r="I36" s="504" t="s">
        <v>340</v>
      </c>
      <c r="J36" s="511"/>
      <c r="K36" s="505"/>
      <c r="M36" s="145"/>
      <c r="N36" s="236" t="s">
        <v>166</v>
      </c>
      <c r="O36" s="225">
        <f>'1. Erosion Haz + Basins'!B15</f>
        <v>0</v>
      </c>
      <c r="P36" s="225">
        <f>'1. Erosion Haz + Basins'!C15</f>
        <v>0</v>
      </c>
      <c r="Q36" s="225">
        <f>'1. Erosion Haz + Basins'!D15</f>
        <v>0</v>
      </c>
      <c r="R36" s="225">
        <f>'1. Erosion Haz + Basins'!E15</f>
        <v>0</v>
      </c>
      <c r="S36" s="225">
        <f>'1. Erosion Haz + Basins'!F15</f>
        <v>0</v>
      </c>
      <c r="T36" s="225">
        <f>'1. Erosion Haz + Basins'!G15</f>
        <v>0</v>
      </c>
      <c r="U36" s="145"/>
    </row>
    <row r="37" spans="1:21" ht="15" customHeight="1" x14ac:dyDescent="0.25">
      <c r="A37" s="504" t="s">
        <v>232</v>
      </c>
      <c r="B37" s="511"/>
      <c r="C37" s="256" t="str">
        <f t="shared" ref="C37:H37" si="16">IF(C33="","",C33/C34*C36*C8)</f>
        <v/>
      </c>
      <c r="D37" s="169" t="str">
        <f>IF(D33="","",D33/D34*D36*D8)</f>
        <v/>
      </c>
      <c r="E37" s="169" t="str">
        <f t="shared" si="16"/>
        <v/>
      </c>
      <c r="F37" s="169" t="str">
        <f t="shared" si="16"/>
        <v/>
      </c>
      <c r="G37" s="169" t="str">
        <f t="shared" si="16"/>
        <v/>
      </c>
      <c r="H37" s="257" t="str">
        <f t="shared" si="16"/>
        <v/>
      </c>
      <c r="I37" s="504" t="s">
        <v>385</v>
      </c>
      <c r="J37" s="511"/>
      <c r="K37" s="505"/>
      <c r="M37" s="145"/>
      <c r="N37" s="145"/>
      <c r="O37" s="145"/>
      <c r="P37" s="145"/>
      <c r="Q37" s="145"/>
      <c r="R37" s="219"/>
      <c r="S37" s="219"/>
      <c r="T37" s="219"/>
      <c r="U37" s="145"/>
    </row>
    <row r="38" spans="1:21" ht="15" customHeight="1" x14ac:dyDescent="0.25">
      <c r="A38" s="504" t="s">
        <v>368</v>
      </c>
      <c r="B38" s="511"/>
      <c r="C38" s="263" t="str">
        <f t="shared" ref="C38:H38" si="17">IF(C33="","",C37*C34)</f>
        <v/>
      </c>
      <c r="D38" s="154" t="str">
        <f>IF(D33="","",D37*D34)</f>
        <v/>
      </c>
      <c r="E38" s="154" t="str">
        <f t="shared" si="17"/>
        <v/>
      </c>
      <c r="F38" s="154" t="str">
        <f t="shared" si="17"/>
        <v/>
      </c>
      <c r="G38" s="154" t="str">
        <f t="shared" si="17"/>
        <v/>
      </c>
      <c r="H38" s="264" t="str">
        <f t="shared" si="17"/>
        <v/>
      </c>
      <c r="I38" s="504" t="s">
        <v>381</v>
      </c>
      <c r="J38" s="511"/>
      <c r="K38" s="505"/>
      <c r="M38" s="145"/>
      <c r="N38" s="145"/>
      <c r="O38" s="145"/>
      <c r="P38" s="145"/>
      <c r="Q38" s="145"/>
      <c r="R38" s="219"/>
      <c r="S38" s="219"/>
      <c r="T38" s="219"/>
      <c r="U38" s="145"/>
    </row>
    <row r="39" spans="1:21" ht="15" customHeight="1" x14ac:dyDescent="0.25">
      <c r="A39" s="504" t="s">
        <v>235</v>
      </c>
      <c r="B39" s="511"/>
      <c r="C39" s="377" t="str">
        <f t="shared" ref="C39:H39" si="18">IF(C34="","",(C37/C10)^0.5)</f>
        <v/>
      </c>
      <c r="D39" s="339" t="str">
        <f t="shared" si="18"/>
        <v/>
      </c>
      <c r="E39" s="339" t="str">
        <f t="shared" si="18"/>
        <v/>
      </c>
      <c r="F39" s="339" t="str">
        <f t="shared" si="18"/>
        <v/>
      </c>
      <c r="G39" s="339" t="str">
        <f t="shared" si="18"/>
        <v/>
      </c>
      <c r="H39" s="422" t="str">
        <f t="shared" si="18"/>
        <v/>
      </c>
      <c r="I39" s="504" t="s">
        <v>384</v>
      </c>
      <c r="J39" s="511"/>
      <c r="K39" s="505"/>
      <c r="M39" s="145"/>
      <c r="N39" s="145"/>
      <c r="O39" s="145"/>
      <c r="P39" s="145"/>
      <c r="Q39" s="145"/>
      <c r="R39" s="219"/>
      <c r="S39" s="219"/>
      <c r="T39" s="219"/>
      <c r="U39" s="145"/>
    </row>
    <row r="40" spans="1:21" ht="15" customHeight="1" x14ac:dyDescent="0.25">
      <c r="A40" s="504" t="s">
        <v>236</v>
      </c>
      <c r="B40" s="511"/>
      <c r="C40" s="377" t="str">
        <f t="shared" ref="C40:H40" si="19">IF(C33="","",C39*C10)</f>
        <v/>
      </c>
      <c r="D40" s="339" t="str">
        <f>IF(D33="","",D39*D10)</f>
        <v/>
      </c>
      <c r="E40" s="339" t="str">
        <f t="shared" si="19"/>
        <v/>
      </c>
      <c r="F40" s="339" t="str">
        <f t="shared" si="19"/>
        <v/>
      </c>
      <c r="G40" s="339" t="str">
        <f t="shared" si="19"/>
        <v/>
      </c>
      <c r="H40" s="422" t="str">
        <f t="shared" si="19"/>
        <v/>
      </c>
      <c r="I40" s="336"/>
      <c r="J40" s="138"/>
      <c r="K40" s="139"/>
      <c r="M40" s="145"/>
      <c r="N40" s="145"/>
      <c r="O40" s="145"/>
      <c r="P40" s="145"/>
      <c r="Q40" s="145"/>
      <c r="R40" s="219"/>
      <c r="S40" s="219"/>
      <c r="T40" s="219"/>
      <c r="U40" s="145"/>
    </row>
    <row r="41" spans="1:21" ht="15" customHeight="1" x14ac:dyDescent="0.25">
      <c r="A41" s="504" t="s">
        <v>367</v>
      </c>
      <c r="B41" s="511"/>
      <c r="C41" s="377" t="str">
        <f t="shared" ref="C41:H41" si="20">IF(C33="","",(C39-((C34/2)*C11*2)))</f>
        <v/>
      </c>
      <c r="D41" s="339" t="str">
        <f>IF(D33="","",(D39-((D34/2)*D11*2)))</f>
        <v/>
      </c>
      <c r="E41" s="339" t="str">
        <f t="shared" si="20"/>
        <v/>
      </c>
      <c r="F41" s="339" t="str">
        <f t="shared" si="20"/>
        <v/>
      </c>
      <c r="G41" s="339" t="str">
        <f>IF(G33="","",(G39-((G34/2)*G11*2)))</f>
        <v/>
      </c>
      <c r="H41" s="422" t="str">
        <f t="shared" si="20"/>
        <v/>
      </c>
      <c r="I41" s="336"/>
      <c r="J41" s="138"/>
      <c r="K41" s="139"/>
      <c r="M41" s="145"/>
      <c r="N41" s="145"/>
      <c r="O41" s="145"/>
      <c r="P41" s="145"/>
      <c r="Q41" s="145"/>
      <c r="R41" s="219"/>
      <c r="S41" s="219"/>
      <c r="T41" s="219"/>
      <c r="U41" s="145"/>
    </row>
    <row r="42" spans="1:21" ht="15" customHeight="1" x14ac:dyDescent="0.3">
      <c r="A42" s="596" t="s">
        <v>396</v>
      </c>
      <c r="B42" s="597"/>
      <c r="C42" s="377" t="str">
        <f t="shared" ref="C42:H42" si="21">IF(C33="","",(((C34-(C33/2))*C11*2)+C41))</f>
        <v/>
      </c>
      <c r="D42" s="339" t="str">
        <f t="shared" si="21"/>
        <v/>
      </c>
      <c r="E42" s="339" t="str">
        <f t="shared" si="21"/>
        <v/>
      </c>
      <c r="F42" s="339" t="str">
        <f t="shared" si="21"/>
        <v/>
      </c>
      <c r="G42" s="339" t="str">
        <f t="shared" si="21"/>
        <v/>
      </c>
      <c r="H42" s="422" t="str">
        <f t="shared" si="21"/>
        <v/>
      </c>
      <c r="I42" s="504" t="s">
        <v>388</v>
      </c>
      <c r="J42" s="511"/>
      <c r="K42" s="505"/>
      <c r="M42" s="145"/>
      <c r="N42" s="145"/>
      <c r="O42" s="145"/>
      <c r="P42" s="145"/>
      <c r="Q42" s="145"/>
      <c r="R42" s="219"/>
      <c r="S42" s="219"/>
      <c r="T42" s="219"/>
      <c r="U42" s="145"/>
    </row>
    <row r="43" spans="1:21" ht="15" customHeight="1" x14ac:dyDescent="0.25">
      <c r="A43" s="516" t="s">
        <v>391</v>
      </c>
      <c r="B43" s="577"/>
      <c r="C43" s="411" t="str">
        <f t="shared" ref="C43:H43" si="22">IF(C33="","",(C8/(C33*C42)))</f>
        <v/>
      </c>
      <c r="D43" s="412" t="str">
        <f t="shared" si="22"/>
        <v/>
      </c>
      <c r="E43" s="412" t="str">
        <f t="shared" si="22"/>
        <v/>
      </c>
      <c r="F43" s="412" t="str">
        <f t="shared" si="22"/>
        <v/>
      </c>
      <c r="G43" s="412" t="str">
        <f>IF(G33="","",(G8/(G33*G42)))</f>
        <v/>
      </c>
      <c r="H43" s="423" t="str">
        <f t="shared" si="22"/>
        <v/>
      </c>
      <c r="I43" s="516"/>
      <c r="J43" s="577"/>
      <c r="K43" s="517"/>
      <c r="U43" s="145"/>
    </row>
    <row r="44" spans="1:21" ht="15" customHeight="1" x14ac:dyDescent="0.25">
      <c r="A44" s="516" t="s">
        <v>392</v>
      </c>
      <c r="B44" s="577"/>
      <c r="C44" s="424" t="str">
        <f t="shared" ref="C44:H44" si="23">IF(C33="","",(C8/(C34*C39)))</f>
        <v/>
      </c>
      <c r="D44" s="425" t="str">
        <f t="shared" si="23"/>
        <v/>
      </c>
      <c r="E44" s="425" t="str">
        <f t="shared" si="23"/>
        <v/>
      </c>
      <c r="F44" s="425" t="str">
        <f t="shared" si="23"/>
        <v/>
      </c>
      <c r="G44" s="425" t="str">
        <f t="shared" si="23"/>
        <v/>
      </c>
      <c r="H44" s="426" t="str">
        <f t="shared" si="23"/>
        <v/>
      </c>
      <c r="I44" s="516" t="s">
        <v>364</v>
      </c>
      <c r="J44" s="577"/>
      <c r="K44" s="517"/>
      <c r="U44" s="145"/>
    </row>
    <row r="45" spans="1:21" ht="15" customHeight="1" x14ac:dyDescent="0.3">
      <c r="A45" s="582" t="s">
        <v>393</v>
      </c>
      <c r="B45" s="583"/>
      <c r="C45" s="258" t="str">
        <f t="shared" ref="C45:H45" si="24">IF(C33="","",C42*C10/C43/60)</f>
        <v/>
      </c>
      <c r="D45" s="157" t="str">
        <f t="shared" si="24"/>
        <v/>
      </c>
      <c r="E45" s="157" t="str">
        <f t="shared" si="24"/>
        <v/>
      </c>
      <c r="F45" s="157" t="str">
        <f t="shared" si="24"/>
        <v/>
      </c>
      <c r="G45" s="157" t="str">
        <f t="shared" si="24"/>
        <v/>
      </c>
      <c r="H45" s="259" t="str">
        <f t="shared" si="24"/>
        <v/>
      </c>
      <c r="I45" s="504" t="s">
        <v>387</v>
      </c>
      <c r="J45" s="511"/>
      <c r="K45" s="505"/>
      <c r="U45" s="145"/>
    </row>
    <row r="46" spans="1:21" ht="15" customHeight="1" x14ac:dyDescent="0.3">
      <c r="A46" s="582" t="s">
        <v>394</v>
      </c>
      <c r="B46" s="583"/>
      <c r="C46" s="258" t="str">
        <f t="shared" ref="C46:H46" si="25">IF(C33="","",C40/C44/60)</f>
        <v/>
      </c>
      <c r="D46" s="157" t="str">
        <f t="shared" si="25"/>
        <v/>
      </c>
      <c r="E46" s="157" t="str">
        <f t="shared" si="25"/>
        <v/>
      </c>
      <c r="F46" s="157" t="str">
        <f t="shared" si="25"/>
        <v/>
      </c>
      <c r="G46" s="157" t="str">
        <f t="shared" si="25"/>
        <v/>
      </c>
      <c r="H46" s="259" t="str">
        <f t="shared" si="25"/>
        <v/>
      </c>
      <c r="I46" s="336"/>
      <c r="J46" s="138"/>
      <c r="K46" s="139"/>
      <c r="U46" s="145"/>
    </row>
    <row r="47" spans="1:21" ht="15" customHeight="1" thickBot="1" x14ac:dyDescent="0.3">
      <c r="A47" s="504" t="s">
        <v>397</v>
      </c>
      <c r="B47" s="511"/>
      <c r="C47" s="373" t="str">
        <f t="shared" ref="C47:H47" si="26">IF(C33="","",1/C36*(C45*60))</f>
        <v/>
      </c>
      <c r="D47" s="170" t="str">
        <f t="shared" si="26"/>
        <v/>
      </c>
      <c r="E47" s="170" t="str">
        <f t="shared" si="26"/>
        <v/>
      </c>
      <c r="F47" s="170" t="str">
        <f t="shared" si="26"/>
        <v/>
      </c>
      <c r="G47" s="170" t="str">
        <f>IF(G33="","",1/G36*(G45*60))</f>
        <v/>
      </c>
      <c r="H47" s="413" t="str">
        <f t="shared" si="26"/>
        <v/>
      </c>
      <c r="I47" s="504" t="s">
        <v>395</v>
      </c>
      <c r="J47" s="511"/>
      <c r="K47" s="505"/>
      <c r="U47" s="145"/>
    </row>
    <row r="48" spans="1:21" ht="15" customHeight="1" x14ac:dyDescent="0.25">
      <c r="A48" s="594" t="s">
        <v>369</v>
      </c>
      <c r="B48" s="595"/>
      <c r="C48" s="316"/>
      <c r="D48" s="74"/>
      <c r="E48" s="74"/>
      <c r="F48" s="74"/>
      <c r="G48" s="74"/>
      <c r="H48" s="320"/>
      <c r="I48" s="574" t="s">
        <v>371</v>
      </c>
      <c r="J48" s="575"/>
      <c r="K48" s="576"/>
      <c r="U48" s="145"/>
    </row>
    <row r="49" spans="1:21" ht="15" customHeight="1" x14ac:dyDescent="0.25">
      <c r="A49" s="582" t="s">
        <v>370</v>
      </c>
      <c r="B49" s="583"/>
      <c r="C49" s="263" t="str">
        <f t="shared" ref="C49:H49" si="27">IF(C48="","",IF(C48="Option 1B",C17,IF(C48="Option 1B - Large",C30,C38)))</f>
        <v/>
      </c>
      <c r="D49" s="154" t="str">
        <f t="shared" si="27"/>
        <v/>
      </c>
      <c r="E49" s="154" t="str">
        <f t="shared" si="27"/>
        <v/>
      </c>
      <c r="F49" s="154" t="str">
        <f t="shared" si="27"/>
        <v/>
      </c>
      <c r="G49" s="154" t="str">
        <f t="shared" si="27"/>
        <v/>
      </c>
      <c r="H49" s="264" t="str">
        <f t="shared" si="27"/>
        <v/>
      </c>
      <c r="I49" s="504" t="s">
        <v>381</v>
      </c>
      <c r="J49" s="511"/>
      <c r="K49" s="505"/>
      <c r="U49" s="145"/>
    </row>
    <row r="50" spans="1:21" ht="15" customHeight="1" x14ac:dyDescent="0.25">
      <c r="A50" s="582" t="s">
        <v>373</v>
      </c>
      <c r="B50" s="583"/>
      <c r="C50" s="263" t="str">
        <f t="shared" ref="C50:H50" si="28">IF(C48="","",IF(C48="Option 1B",C15,IF(C48="Option 1B - Large",C29,C37)))</f>
        <v/>
      </c>
      <c r="D50" s="154" t="str">
        <f t="shared" si="28"/>
        <v/>
      </c>
      <c r="E50" s="154" t="str">
        <f t="shared" si="28"/>
        <v/>
      </c>
      <c r="F50" s="154" t="str">
        <f t="shared" si="28"/>
        <v/>
      </c>
      <c r="G50" s="154" t="str">
        <f t="shared" si="28"/>
        <v/>
      </c>
      <c r="H50" s="264" t="str">
        <f t="shared" si="28"/>
        <v/>
      </c>
      <c r="I50" s="504" t="s">
        <v>374</v>
      </c>
      <c r="J50" s="511"/>
      <c r="K50" s="505"/>
      <c r="U50" s="145"/>
    </row>
    <row r="51" spans="1:21" ht="15" customHeight="1" thickBot="1" x14ac:dyDescent="0.3">
      <c r="A51" s="585" t="s">
        <v>210</v>
      </c>
      <c r="B51" s="586"/>
      <c r="C51" s="373" t="str">
        <f t="shared" ref="C51:H51" si="29">IF(C48="","",IF(C48="Option 1B",C16,IF(C48="Option 1B - Large",C23,C34)))</f>
        <v/>
      </c>
      <c r="D51" s="170" t="str">
        <f t="shared" si="29"/>
        <v/>
      </c>
      <c r="E51" s="170" t="str">
        <f t="shared" si="29"/>
        <v/>
      </c>
      <c r="F51" s="170" t="str">
        <f t="shared" si="29"/>
        <v/>
      </c>
      <c r="G51" s="170" t="str">
        <f t="shared" si="29"/>
        <v/>
      </c>
      <c r="H51" s="413" t="str">
        <f t="shared" si="29"/>
        <v/>
      </c>
      <c r="I51" s="337"/>
      <c r="J51" s="337"/>
      <c r="K51" s="338"/>
      <c r="U51" s="145"/>
    </row>
    <row r="52" spans="1:21" ht="15" customHeight="1" thickBot="1" x14ac:dyDescent="0.25">
      <c r="A52" s="509" t="s">
        <v>241</v>
      </c>
      <c r="B52" s="510"/>
      <c r="C52" s="510"/>
      <c r="D52" s="136"/>
      <c r="E52" s="136"/>
      <c r="F52" s="136"/>
      <c r="G52" s="136"/>
      <c r="H52" s="136"/>
      <c r="I52" s="136"/>
      <c r="J52" s="136"/>
      <c r="K52" s="137"/>
      <c r="U52" s="145"/>
    </row>
    <row r="53" spans="1:21" ht="13.5" customHeight="1" x14ac:dyDescent="0.25">
      <c r="A53" s="514" t="s">
        <v>32</v>
      </c>
      <c r="B53" s="515"/>
      <c r="C53" s="333" t="str">
        <f t="shared" ref="C53:H53" si="30">IF(C4="","",HLOOKUP(C4,$O$34:$T$36,2,FALSE))</f>
        <v/>
      </c>
      <c r="D53" s="163" t="str">
        <f t="shared" si="30"/>
        <v/>
      </c>
      <c r="E53" s="163" t="str">
        <f t="shared" si="30"/>
        <v/>
      </c>
      <c r="F53" s="163" t="str">
        <f t="shared" si="30"/>
        <v/>
      </c>
      <c r="G53" s="163" t="str">
        <f t="shared" si="30"/>
        <v/>
      </c>
      <c r="H53" s="363" t="str">
        <f t="shared" si="30"/>
        <v/>
      </c>
      <c r="I53" s="523" t="s">
        <v>198</v>
      </c>
      <c r="J53" s="523"/>
      <c r="K53" s="515"/>
      <c r="U53" s="145"/>
    </row>
    <row r="54" spans="1:21" ht="15" customHeight="1" x14ac:dyDescent="0.25">
      <c r="A54" s="504" t="s">
        <v>291</v>
      </c>
      <c r="B54" s="505"/>
      <c r="C54" s="288"/>
      <c r="D54" s="75"/>
      <c r="E54" s="75"/>
      <c r="F54" s="75"/>
      <c r="G54" s="75"/>
      <c r="H54" s="202"/>
      <c r="I54" s="511" t="s">
        <v>331</v>
      </c>
      <c r="J54" s="511"/>
      <c r="K54" s="505"/>
      <c r="U54" s="145"/>
    </row>
    <row r="55" spans="1:21" ht="15" customHeight="1" x14ac:dyDescent="0.25">
      <c r="A55" s="504" t="s">
        <v>33</v>
      </c>
      <c r="B55" s="505"/>
      <c r="C55" s="258" t="str">
        <f t="shared" ref="C55:H55" si="31">IF(C54="","",C53/C54)</f>
        <v/>
      </c>
      <c r="D55" s="157" t="str">
        <f t="shared" si="31"/>
        <v/>
      </c>
      <c r="E55" s="157" t="str">
        <f t="shared" si="31"/>
        <v/>
      </c>
      <c r="F55" s="157" t="str">
        <f t="shared" si="31"/>
        <v/>
      </c>
      <c r="G55" s="157" t="str">
        <f t="shared" si="31"/>
        <v/>
      </c>
      <c r="H55" s="259" t="str">
        <f t="shared" si="31"/>
        <v/>
      </c>
      <c r="I55" s="511" t="s">
        <v>197</v>
      </c>
      <c r="J55" s="511"/>
      <c r="K55" s="505"/>
      <c r="U55" s="145"/>
    </row>
    <row r="56" spans="1:21" ht="15" customHeight="1" x14ac:dyDescent="0.25">
      <c r="A56" s="504" t="s">
        <v>250</v>
      </c>
      <c r="B56" s="505"/>
      <c r="C56" s="341"/>
      <c r="D56" s="188"/>
      <c r="E56" s="188"/>
      <c r="F56" s="188"/>
      <c r="G56" s="188"/>
      <c r="H56" s="364"/>
      <c r="I56" s="565" t="s">
        <v>332</v>
      </c>
      <c r="J56" s="565"/>
      <c r="K56" s="566"/>
      <c r="U56" s="219"/>
    </row>
    <row r="57" spans="1:21" ht="15" customHeight="1" x14ac:dyDescent="0.25">
      <c r="A57" s="504" t="s">
        <v>162</v>
      </c>
      <c r="B57" s="505"/>
      <c r="C57" s="119"/>
      <c r="D57" s="118"/>
      <c r="E57" s="118"/>
      <c r="F57" s="118"/>
      <c r="G57" s="118"/>
      <c r="H57" s="120"/>
      <c r="I57" s="567"/>
      <c r="J57" s="567"/>
      <c r="K57" s="568"/>
      <c r="U57" s="219"/>
    </row>
    <row r="58" spans="1:21" ht="15" customHeight="1" thickBot="1" x14ac:dyDescent="0.3">
      <c r="A58" s="584" t="s">
        <v>294</v>
      </c>
      <c r="B58" s="564"/>
      <c r="C58" s="243" t="str">
        <f t="shared" ref="C58:H58" si="32">IF(C4="","",IF(C56="x",ROUND(0.3*C49,0),IF(C55&lt;0.5,0,ROUND(C55/12*C57*(HLOOKUP(C4,$O$34:$T$36,3,FALSE)),0))))</f>
        <v/>
      </c>
      <c r="D58" s="174" t="str">
        <f t="shared" si="32"/>
        <v/>
      </c>
      <c r="E58" s="174" t="str">
        <f t="shared" si="32"/>
        <v/>
      </c>
      <c r="F58" s="174" t="str">
        <f t="shared" si="32"/>
        <v/>
      </c>
      <c r="G58" s="174" t="str">
        <f t="shared" si="32"/>
        <v/>
      </c>
      <c r="H58" s="242" t="str">
        <f t="shared" si="32"/>
        <v/>
      </c>
      <c r="I58" s="580" t="s">
        <v>390</v>
      </c>
      <c r="J58" s="580"/>
      <c r="K58" s="581"/>
      <c r="U58" s="219"/>
    </row>
    <row r="59" spans="1:21" ht="27" customHeight="1" thickBot="1" x14ac:dyDescent="0.3">
      <c r="A59" s="587" t="s">
        <v>238</v>
      </c>
      <c r="B59" s="598"/>
      <c r="C59" s="598"/>
      <c r="D59" s="136"/>
      <c r="E59" s="136"/>
      <c r="F59" s="136"/>
      <c r="G59" s="136"/>
      <c r="H59" s="136"/>
      <c r="I59" s="136"/>
      <c r="J59" s="136"/>
      <c r="K59" s="137"/>
      <c r="U59" s="219"/>
    </row>
    <row r="60" spans="1:21" ht="15" customHeight="1" thickBot="1" x14ac:dyDescent="0.3">
      <c r="A60" s="509" t="s">
        <v>130</v>
      </c>
      <c r="B60" s="518"/>
      <c r="C60" s="165" t="str">
        <f t="shared" ref="C60:H60" si="33">IF(C4="","",C4)</f>
        <v/>
      </c>
      <c r="D60" s="177" t="str">
        <f t="shared" si="33"/>
        <v/>
      </c>
      <c r="E60" s="177" t="str">
        <f t="shared" si="33"/>
        <v/>
      </c>
      <c r="F60" s="177" t="str">
        <f t="shared" si="33"/>
        <v/>
      </c>
      <c r="G60" s="177" t="str">
        <f t="shared" si="33"/>
        <v/>
      </c>
      <c r="H60" s="255" t="str">
        <f t="shared" si="33"/>
        <v/>
      </c>
      <c r="I60" s="128"/>
      <c r="J60" s="128"/>
      <c r="K60" s="129"/>
      <c r="U60" s="219"/>
    </row>
    <row r="61" spans="1:21" ht="15.75" customHeight="1" x14ac:dyDescent="0.25">
      <c r="A61" s="514" t="s">
        <v>239</v>
      </c>
      <c r="B61" s="515"/>
      <c r="C61" s="333" t="str">
        <f t="shared" ref="C61:H61" si="34">IF(C48="","",C48)</f>
        <v/>
      </c>
      <c r="D61" s="163" t="str">
        <f t="shared" si="34"/>
        <v/>
      </c>
      <c r="E61" s="163" t="str">
        <f t="shared" si="34"/>
        <v/>
      </c>
      <c r="F61" s="163" t="str">
        <f t="shared" si="34"/>
        <v/>
      </c>
      <c r="G61" s="163" t="str">
        <f t="shared" si="34"/>
        <v/>
      </c>
      <c r="H61" s="363" t="str">
        <f t="shared" si="34"/>
        <v/>
      </c>
      <c r="I61" s="140"/>
      <c r="J61" s="140"/>
      <c r="K61" s="141"/>
      <c r="U61" s="145"/>
    </row>
    <row r="62" spans="1:21" ht="15.75" customHeight="1" x14ac:dyDescent="0.25">
      <c r="A62" s="504" t="s">
        <v>242</v>
      </c>
      <c r="B62" s="505"/>
      <c r="C62" s="258" t="str">
        <f t="shared" ref="C62:E63" si="35">C50</f>
        <v/>
      </c>
      <c r="D62" s="157" t="str">
        <f t="shared" si="35"/>
        <v/>
      </c>
      <c r="E62" s="157" t="str">
        <f t="shared" si="35"/>
        <v/>
      </c>
      <c r="F62" s="157" t="str">
        <f t="shared" ref="F62:H63" si="36">F50</f>
        <v/>
      </c>
      <c r="G62" s="157" t="str">
        <f t="shared" si="36"/>
        <v/>
      </c>
      <c r="H62" s="259" t="str">
        <f t="shared" si="36"/>
        <v/>
      </c>
      <c r="I62" s="138"/>
      <c r="J62" s="138"/>
      <c r="K62" s="139"/>
      <c r="L62" s="96"/>
      <c r="U62" s="145"/>
    </row>
    <row r="63" spans="1:21" ht="15" customHeight="1" x14ac:dyDescent="0.25">
      <c r="A63" s="504" t="s">
        <v>210</v>
      </c>
      <c r="B63" s="505"/>
      <c r="C63" s="263" t="str">
        <f t="shared" si="35"/>
        <v/>
      </c>
      <c r="D63" s="154" t="str">
        <f t="shared" si="35"/>
        <v/>
      </c>
      <c r="E63" s="154" t="str">
        <f t="shared" si="35"/>
        <v/>
      </c>
      <c r="F63" s="154" t="str">
        <f t="shared" si="36"/>
        <v/>
      </c>
      <c r="G63" s="154" t="str">
        <f t="shared" si="36"/>
        <v/>
      </c>
      <c r="H63" s="264" t="str">
        <f t="shared" si="36"/>
        <v/>
      </c>
      <c r="I63" s="138"/>
      <c r="J63" s="138"/>
      <c r="K63" s="139"/>
      <c r="U63" s="145"/>
    </row>
    <row r="64" spans="1:21" ht="15" customHeight="1" x14ac:dyDescent="0.25">
      <c r="A64" s="504" t="s">
        <v>243</v>
      </c>
      <c r="B64" s="505"/>
      <c r="C64" s="258" t="str">
        <f t="shared" ref="C64:H64" si="37">C49</f>
        <v/>
      </c>
      <c r="D64" s="157" t="str">
        <f t="shared" si="37"/>
        <v/>
      </c>
      <c r="E64" s="157" t="str">
        <f t="shared" si="37"/>
        <v/>
      </c>
      <c r="F64" s="157" t="str">
        <f t="shared" si="37"/>
        <v/>
      </c>
      <c r="G64" s="157" t="str">
        <f t="shared" si="37"/>
        <v/>
      </c>
      <c r="H64" s="259" t="str">
        <f t="shared" si="37"/>
        <v/>
      </c>
      <c r="I64" s="138"/>
      <c r="J64" s="138"/>
      <c r="K64" s="139"/>
      <c r="L64" s="95"/>
      <c r="U64" s="219"/>
    </row>
    <row r="65" spans="1:21" ht="14.25" customHeight="1" x14ac:dyDescent="0.25">
      <c r="A65" s="504" t="s">
        <v>294</v>
      </c>
      <c r="B65" s="505"/>
      <c r="C65" s="258" t="str">
        <f t="shared" ref="C65:H65" si="38">IF(C61="","",C58)</f>
        <v/>
      </c>
      <c r="D65" s="157" t="str">
        <f t="shared" si="38"/>
        <v/>
      </c>
      <c r="E65" s="157" t="str">
        <f t="shared" si="38"/>
        <v/>
      </c>
      <c r="F65" s="157" t="str">
        <f t="shared" si="38"/>
        <v/>
      </c>
      <c r="G65" s="157" t="str">
        <f t="shared" si="38"/>
        <v/>
      </c>
      <c r="H65" s="259" t="str">
        <f t="shared" si="38"/>
        <v/>
      </c>
      <c r="I65" s="511" t="s">
        <v>343</v>
      </c>
      <c r="J65" s="511"/>
      <c r="K65" s="505"/>
      <c r="L65" s="95"/>
      <c r="U65" s="219"/>
    </row>
    <row r="66" spans="1:21" ht="15" customHeight="1" thickBot="1" x14ac:dyDescent="0.3">
      <c r="A66" s="578" t="s">
        <v>284</v>
      </c>
      <c r="B66" s="579"/>
      <c r="C66" s="243" t="str">
        <f t="shared" ref="C66:H66" si="39">IF(C61="","",C64+C65)</f>
        <v/>
      </c>
      <c r="D66" s="174" t="str">
        <f t="shared" si="39"/>
        <v/>
      </c>
      <c r="E66" s="174" t="str">
        <f t="shared" si="39"/>
        <v/>
      </c>
      <c r="F66" s="174" t="str">
        <f>IF(F61="","",F64+F65)</f>
        <v/>
      </c>
      <c r="G66" s="174" t="str">
        <f t="shared" si="39"/>
        <v/>
      </c>
      <c r="H66" s="242" t="str">
        <f t="shared" si="39"/>
        <v/>
      </c>
      <c r="I66" s="108"/>
      <c r="J66" s="108"/>
      <c r="K66" s="92"/>
      <c r="L66" s="109"/>
      <c r="U66" s="219"/>
    </row>
    <row r="67" spans="1:21" ht="14.25" customHeight="1" x14ac:dyDescent="0.25">
      <c r="A67" s="330"/>
      <c r="B67" s="330"/>
      <c r="C67" s="330"/>
      <c r="D67" s="330"/>
      <c r="E67" s="330"/>
      <c r="F67" s="330"/>
      <c r="G67" s="330"/>
      <c r="H67" s="330"/>
      <c r="K67" s="134" t="str">
        <f>"Version "&amp;Information!B13</f>
        <v>Version 5.9</v>
      </c>
      <c r="L67" s="109"/>
      <c r="U67" s="219"/>
    </row>
    <row r="68" spans="1:21" ht="14.25" customHeight="1" x14ac:dyDescent="0.25">
      <c r="L68" s="109"/>
      <c r="U68" s="219"/>
    </row>
  </sheetData>
  <sheetProtection algorithmName="SHA-512" hashValue="lB/pADeafc/Duqf4qTIRhsuBdKDKzSwOvtRQZDU+I82vkOtwg6SPHrnv8t6+xyWLfd7+3UMwU58edo4amX0lkg==" saltValue="sK52PkVxEq8BjU9kc2aAJg==" spinCount="100000" sheet="1" objects="1" formatColumns="0" selectLockedCells="1" sort="0"/>
  <mergeCells count="110">
    <mergeCell ref="I65:K65"/>
    <mergeCell ref="A52:C52"/>
    <mergeCell ref="A59:C59"/>
    <mergeCell ref="A60:B60"/>
    <mergeCell ref="A61:B61"/>
    <mergeCell ref="A53:B53"/>
    <mergeCell ref="A28:B28"/>
    <mergeCell ref="A33:B33"/>
    <mergeCell ref="I3:K3"/>
    <mergeCell ref="I4:K4"/>
    <mergeCell ref="I8:K8"/>
    <mergeCell ref="I10:K10"/>
    <mergeCell ref="I13:K13"/>
    <mergeCell ref="C32:K32"/>
    <mergeCell ref="I28:K28"/>
    <mergeCell ref="A11:B11"/>
    <mergeCell ref="A8:B8"/>
    <mergeCell ref="I11:K11"/>
    <mergeCell ref="I30:K30"/>
    <mergeCell ref="I33:K33"/>
    <mergeCell ref="A30:B30"/>
    <mergeCell ref="A15:B15"/>
    <mergeCell ref="A27:B27"/>
    <mergeCell ref="A31:B31"/>
    <mergeCell ref="A56:B56"/>
    <mergeCell ref="A57:B57"/>
    <mergeCell ref="A44:B44"/>
    <mergeCell ref="A48:B48"/>
    <mergeCell ref="A55:B55"/>
    <mergeCell ref="A65:B65"/>
    <mergeCell ref="A24:B24"/>
    <mergeCell ref="A25:B25"/>
    <mergeCell ref="A38:B38"/>
    <mergeCell ref="A40:B40"/>
    <mergeCell ref="A41:B41"/>
    <mergeCell ref="A29:B29"/>
    <mergeCell ref="A36:B36"/>
    <mergeCell ref="A34:B34"/>
    <mergeCell ref="A32:B32"/>
    <mergeCell ref="A64:B64"/>
    <mergeCell ref="A37:B37"/>
    <mergeCell ref="A42:B42"/>
    <mergeCell ref="A39:B39"/>
    <mergeCell ref="A35:B35"/>
    <mergeCell ref="A46:B46"/>
    <mergeCell ref="A45:B45"/>
    <mergeCell ref="A1:H1"/>
    <mergeCell ref="C3:H3"/>
    <mergeCell ref="I16:K16"/>
    <mergeCell ref="A19:B19"/>
    <mergeCell ref="I5:K5"/>
    <mergeCell ref="I15:K15"/>
    <mergeCell ref="A16:B16"/>
    <mergeCell ref="A6:B6"/>
    <mergeCell ref="A4:B4"/>
    <mergeCell ref="A13:B13"/>
    <mergeCell ref="A7:B7"/>
    <mergeCell ref="A18:B18"/>
    <mergeCell ref="I18:K18"/>
    <mergeCell ref="A9:B9"/>
    <mergeCell ref="A10:B10"/>
    <mergeCell ref="A5:B5"/>
    <mergeCell ref="A17:B17"/>
    <mergeCell ref="I7:K7"/>
    <mergeCell ref="A66:B66"/>
    <mergeCell ref="A14:B14"/>
    <mergeCell ref="I14:K14"/>
    <mergeCell ref="A12:B12"/>
    <mergeCell ref="A23:B23"/>
    <mergeCell ref="I55:K55"/>
    <mergeCell ref="A20:B20"/>
    <mergeCell ref="I21:K21"/>
    <mergeCell ref="A21:B21"/>
    <mergeCell ref="I58:K58"/>
    <mergeCell ref="I20:K20"/>
    <mergeCell ref="A26:B26"/>
    <mergeCell ref="I43:K43"/>
    <mergeCell ref="A63:B63"/>
    <mergeCell ref="A62:B62"/>
    <mergeCell ref="A49:B49"/>
    <mergeCell ref="A58:B58"/>
    <mergeCell ref="A51:B51"/>
    <mergeCell ref="A50:B50"/>
    <mergeCell ref="A22:B22"/>
    <mergeCell ref="A47:B47"/>
    <mergeCell ref="I53:K53"/>
    <mergeCell ref="A43:B43"/>
    <mergeCell ref="A54:B54"/>
    <mergeCell ref="I54:K54"/>
    <mergeCell ref="I56:K57"/>
    <mergeCell ref="I19:K19"/>
    <mergeCell ref="I23:K24"/>
    <mergeCell ref="C22:K22"/>
    <mergeCell ref="I26:K26"/>
    <mergeCell ref="I25:K25"/>
    <mergeCell ref="I27:K27"/>
    <mergeCell ref="I48:K48"/>
    <mergeCell ref="I36:K36"/>
    <mergeCell ref="I37:K37"/>
    <mergeCell ref="I35:K35"/>
    <mergeCell ref="I44:K44"/>
    <mergeCell ref="I38:K38"/>
    <mergeCell ref="I49:K49"/>
    <mergeCell ref="I50:K50"/>
    <mergeCell ref="I45:K45"/>
    <mergeCell ref="I47:K47"/>
    <mergeCell ref="I39:K39"/>
    <mergeCell ref="I42:K42"/>
    <mergeCell ref="I34:K34"/>
    <mergeCell ref="I29:K29"/>
  </mergeCells>
  <conditionalFormatting sqref="C34">
    <cfRule type="cellIs" dxfId="18" priority="16" stopIfTrue="1" operator="lessThan">
      <formula>$C$33</formula>
    </cfRule>
  </conditionalFormatting>
  <conditionalFormatting sqref="C21:H21">
    <cfRule type="cellIs" dxfId="17" priority="38" stopIfTrue="1" operator="equal">
      <formula>"Need Large Basin. Use method below"</formula>
    </cfRule>
    <cfRule type="cellIs" dxfId="16" priority="39" stopIfTrue="1" operator="equal">
      <formula>"Use method below"</formula>
    </cfRule>
  </conditionalFormatting>
  <conditionalFormatting sqref="C26:H26">
    <cfRule type="containsBlanks" priority="25" stopIfTrue="1">
      <formula>LEN(TRIM(C26))=0</formula>
    </cfRule>
    <cfRule type="cellIs" dxfId="15" priority="30" stopIfTrue="1" operator="greaterThan">
      <formula>0.015</formula>
    </cfRule>
  </conditionalFormatting>
  <conditionalFormatting sqref="C28:H28">
    <cfRule type="cellIs" dxfId="14" priority="29" stopIfTrue="1" operator="lessThan">
      <formula>C$23</formula>
    </cfRule>
  </conditionalFormatting>
  <conditionalFormatting sqref="C31:H31">
    <cfRule type="cellIs" dxfId="13" priority="26" stopIfTrue="1" operator="equal">
      <formula>"Particles don’t settle, increase Ws"</formula>
    </cfRule>
    <cfRule type="cellIs" dxfId="12" priority="27" stopIfTrue="1" operator="equal">
      <formula>"Velocity too high, increase Ds or Ws"</formula>
    </cfRule>
  </conditionalFormatting>
  <conditionalFormatting sqref="C33:H33">
    <cfRule type="cellIs" dxfId="11" priority="23" stopIfTrue="1" operator="lessThan">
      <formula>0.6</formula>
    </cfRule>
  </conditionalFormatting>
  <conditionalFormatting sqref="C34:H34">
    <cfRule type="cellIs" dxfId="10" priority="1" stopIfTrue="1" operator="greaterThan">
      <formula>2</formula>
    </cfRule>
  </conditionalFormatting>
  <conditionalFormatting sqref="C44:H44">
    <cfRule type="containsBlanks" priority="24" stopIfTrue="1">
      <formula>LEN(TRIM(C44))=0</formula>
    </cfRule>
    <cfRule type="cellIs" dxfId="9" priority="32" operator="greaterThan">
      <formula>0.015</formula>
    </cfRule>
  </conditionalFormatting>
  <conditionalFormatting sqref="C47:H47">
    <cfRule type="cellIs" dxfId="8" priority="7" stopIfTrue="1" operator="lessThan">
      <formula>0.6</formula>
    </cfRule>
  </conditionalFormatting>
  <conditionalFormatting sqref="C57:H57">
    <cfRule type="cellIs" dxfId="7" priority="36" stopIfTrue="1" operator="equal">
      <formula>"Increase DSS"</formula>
    </cfRule>
  </conditionalFormatting>
  <conditionalFormatting sqref="D34">
    <cfRule type="cellIs" dxfId="6" priority="17" stopIfTrue="1" operator="lessThan">
      <formula>$D$33</formula>
    </cfRule>
  </conditionalFormatting>
  <conditionalFormatting sqref="E34">
    <cfRule type="cellIs" dxfId="5" priority="21" stopIfTrue="1" operator="lessThan">
      <formula>$E$33</formula>
    </cfRule>
  </conditionalFormatting>
  <conditionalFormatting sqref="F34">
    <cfRule type="cellIs" dxfId="4" priority="20" stopIfTrue="1" operator="lessThan">
      <formula>$F$33</formula>
    </cfRule>
  </conditionalFormatting>
  <conditionalFormatting sqref="G34">
    <cfRule type="cellIs" dxfId="3" priority="19" stopIfTrue="1" operator="lessThan">
      <formula>$G$33</formula>
    </cfRule>
  </conditionalFormatting>
  <conditionalFormatting sqref="H34">
    <cfRule type="cellIs" dxfId="2" priority="18" stopIfTrue="1" operator="lessThan">
      <formula>$H$33</formula>
    </cfRule>
  </conditionalFormatting>
  <dataValidations count="2">
    <dataValidation type="list" allowBlank="1" showInputMessage="1" showErrorMessage="1" sqref="C13:H13 C35:H35" xr:uid="{E929F493-F3B4-4001-A878-94495250EF9E}">
      <formula1>$P$22:$P$28</formula1>
    </dataValidation>
    <dataValidation type="list" allowBlank="1" showInputMessage="1" showErrorMessage="1" sqref="C48:H48" xr:uid="{39D05098-4233-4E2F-BE17-5320A001B31B}">
      <formula1>$O$2:$O$15</formula1>
    </dataValidation>
  </dataValidations>
  <pageMargins left="0.7" right="0.7" top="0.75" bottom="0.75" header="0.3" footer="0.3"/>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CB75E-D0DD-4866-8818-BE8F38E929B7}">
  <sheetPr codeName="Sheet9"/>
  <dimension ref="A1:W38"/>
  <sheetViews>
    <sheetView view="pageBreakPreview" zoomScaleNormal="115" zoomScaleSheetLayoutView="100" workbookViewId="0">
      <selection activeCell="G25" sqref="G25"/>
    </sheetView>
  </sheetViews>
  <sheetFormatPr defaultRowHeight="12.75" x14ac:dyDescent="0.2"/>
  <cols>
    <col min="1" max="1" width="10.85546875" customWidth="1"/>
    <col min="2" max="2" width="12.5703125" customWidth="1"/>
    <col min="3" max="8" width="13.85546875" customWidth="1"/>
    <col min="9" max="9" width="8.7109375" customWidth="1"/>
    <col min="10" max="10" width="8.42578125" customWidth="1"/>
    <col min="11" max="11" width="26.28515625" customWidth="1"/>
    <col min="12" max="12" width="39.85546875" customWidth="1"/>
    <col min="15" max="15" width="20" customWidth="1"/>
    <col min="23" max="23" width="62.42578125" customWidth="1"/>
  </cols>
  <sheetData>
    <row r="1" spans="1:23" ht="24.75" customHeight="1" x14ac:dyDescent="0.25">
      <c r="A1" s="530" t="s">
        <v>206</v>
      </c>
      <c r="B1" s="531"/>
      <c r="C1" s="531"/>
      <c r="D1" s="531"/>
      <c r="E1" s="531"/>
      <c r="F1" s="531"/>
      <c r="M1" s="145"/>
      <c r="N1" s="145"/>
      <c r="O1" s="145"/>
      <c r="P1" s="145"/>
      <c r="Q1" s="145"/>
      <c r="R1" s="145"/>
      <c r="S1" s="145"/>
      <c r="T1" s="145"/>
      <c r="U1" s="145"/>
      <c r="V1" s="145"/>
      <c r="W1" s="145"/>
    </row>
    <row r="2" spans="1:23" ht="9.75" customHeight="1" thickBot="1" x14ac:dyDescent="0.3">
      <c r="B2" s="57"/>
      <c r="M2" s="145"/>
      <c r="N2" s="145"/>
      <c r="O2" s="145"/>
      <c r="P2" s="145"/>
      <c r="Q2" s="145"/>
      <c r="R2" s="145"/>
      <c r="S2" s="145"/>
      <c r="T2" s="145"/>
      <c r="U2" s="145"/>
      <c r="V2" s="145"/>
      <c r="W2" s="145"/>
    </row>
    <row r="3" spans="1:23" ht="15.75" thickBot="1" x14ac:dyDescent="0.3">
      <c r="A3" s="111"/>
      <c r="B3" s="112"/>
      <c r="C3" s="536" t="s">
        <v>43</v>
      </c>
      <c r="D3" s="537"/>
      <c r="E3" s="537"/>
      <c r="F3" s="537"/>
      <c r="G3" s="537"/>
      <c r="H3" s="538"/>
      <c r="I3" s="536" t="s">
        <v>44</v>
      </c>
      <c r="J3" s="537"/>
      <c r="K3" s="538"/>
      <c r="M3" s="219"/>
      <c r="N3" s="219"/>
      <c r="O3" s="145"/>
      <c r="P3" s="145"/>
      <c r="Q3" s="145"/>
      <c r="R3" s="145"/>
      <c r="S3" s="145"/>
      <c r="T3" s="145"/>
      <c r="U3" s="145"/>
      <c r="V3" s="145"/>
      <c r="W3" s="145"/>
    </row>
    <row r="4" spans="1:23" ht="13.5" customHeight="1" thickBot="1" x14ac:dyDescent="0.3">
      <c r="A4" s="470" t="s">
        <v>130</v>
      </c>
      <c r="B4" s="541"/>
      <c r="C4" s="309"/>
      <c r="D4" s="310"/>
      <c r="E4" s="312"/>
      <c r="F4" s="323"/>
      <c r="G4" s="310"/>
      <c r="H4" s="311"/>
      <c r="I4" s="601" t="s">
        <v>362</v>
      </c>
      <c r="J4" s="602"/>
      <c r="K4" s="603"/>
      <c r="M4" s="219"/>
      <c r="N4" s="219"/>
      <c r="O4" s="145"/>
      <c r="P4" s="145"/>
      <c r="Q4" s="145"/>
      <c r="R4" s="145"/>
      <c r="S4" s="145"/>
      <c r="T4" s="145"/>
      <c r="U4" s="145"/>
      <c r="V4" s="145"/>
      <c r="W4" s="145"/>
    </row>
    <row r="5" spans="1:23" ht="15.75" thickBot="1" x14ac:dyDescent="0.3">
      <c r="A5" s="599" t="s">
        <v>53</v>
      </c>
      <c r="B5" s="600"/>
      <c r="C5" s="166" t="str">
        <f>IF(C4="","",HLOOKUP(C4,'1. Erosion Haz + Basins'!$B$13:$G$14,2,FALSE))</f>
        <v/>
      </c>
      <c r="D5" s="167" t="str">
        <f>IF(D4="","",HLOOKUP(D4,'1. Erosion Haz + Basins'!$B$13:$G$14,2,FALSE))</f>
        <v/>
      </c>
      <c r="E5" s="167" t="str">
        <f>IF(E4="","",HLOOKUP(E4,'1. Erosion Haz + Basins'!$B$13:$G$14,2,FALSE))</f>
        <v/>
      </c>
      <c r="F5" s="167" t="str">
        <f>IF(F4="","",HLOOKUP(F4,'1. Erosion Haz + Basins'!$B$13:$G$14,2,FALSE))</f>
        <v/>
      </c>
      <c r="G5" s="167" t="str">
        <f>IF(G4="","",HLOOKUP(G4,'1. Erosion Haz + Basins'!$B$13:$G$14,2,FALSE))</f>
        <v/>
      </c>
      <c r="H5" s="322" t="str">
        <f>IF(H4="","",HLOOKUP(H4,'1. Erosion Haz + Basins'!$B$13:$G$14,2,FALSE))</f>
        <v/>
      </c>
      <c r="I5" s="589" t="s">
        <v>106</v>
      </c>
      <c r="J5" s="590"/>
      <c r="K5" s="591"/>
      <c r="M5" s="219"/>
      <c r="N5" s="219"/>
      <c r="O5" s="233"/>
      <c r="P5" s="145"/>
      <c r="Q5" s="145"/>
      <c r="R5" s="145"/>
      <c r="S5" s="145"/>
      <c r="T5" s="233"/>
      <c r="U5" s="145"/>
      <c r="V5" s="145"/>
      <c r="W5" s="145"/>
    </row>
    <row r="6" spans="1:23" ht="15.75" customHeight="1" thickBot="1" x14ac:dyDescent="0.3">
      <c r="A6" s="509" t="s">
        <v>133</v>
      </c>
      <c r="B6" s="510"/>
      <c r="C6" s="113"/>
      <c r="D6" s="114"/>
      <c r="E6" s="114"/>
      <c r="F6" s="114"/>
      <c r="G6" s="114"/>
      <c r="H6" s="115"/>
      <c r="I6" s="130"/>
      <c r="J6" s="130"/>
      <c r="K6" s="131"/>
      <c r="M6" s="219"/>
      <c r="N6" s="219"/>
      <c r="O6" s="226" t="s">
        <v>146</v>
      </c>
      <c r="P6" s="224"/>
      <c r="Q6" s="234">
        <v>5</v>
      </c>
      <c r="R6" s="234">
        <v>10</v>
      </c>
      <c r="S6" s="234">
        <v>15</v>
      </c>
      <c r="T6" s="146">
        <v>20</v>
      </c>
      <c r="U6" s="234">
        <v>25</v>
      </c>
      <c r="V6" s="234">
        <v>30</v>
      </c>
      <c r="W6" s="226"/>
    </row>
    <row r="7" spans="1:23" ht="15" customHeight="1" x14ac:dyDescent="0.25">
      <c r="A7" s="526" t="s">
        <v>126</v>
      </c>
      <c r="B7" s="528"/>
      <c r="C7" s="106"/>
      <c r="D7" s="74"/>
      <c r="E7" s="74"/>
      <c r="F7" s="74"/>
      <c r="G7" s="74"/>
      <c r="H7" s="201"/>
      <c r="I7" s="526" t="s">
        <v>135</v>
      </c>
      <c r="J7" s="527"/>
      <c r="K7" s="528"/>
      <c r="M7" s="219"/>
      <c r="N7" s="219"/>
      <c r="O7" s="232" t="s">
        <v>124</v>
      </c>
      <c r="P7" s="145"/>
      <c r="Q7" s="146">
        <v>2</v>
      </c>
      <c r="R7" s="146">
        <v>3</v>
      </c>
      <c r="S7" s="146">
        <v>4</v>
      </c>
      <c r="T7" s="146">
        <v>5</v>
      </c>
      <c r="U7" s="146">
        <v>6</v>
      </c>
      <c r="V7" s="146">
        <v>7</v>
      </c>
      <c r="W7" s="226"/>
    </row>
    <row r="8" spans="1:23" ht="15" customHeight="1" thickBot="1" x14ac:dyDescent="0.3">
      <c r="A8" s="584" t="s">
        <v>292</v>
      </c>
      <c r="B8" s="564"/>
      <c r="C8" s="159" t="str">
        <f t="shared" ref="C8:H8" si="0">IF(C7="","",0.5*C7)</f>
        <v/>
      </c>
      <c r="D8" s="160" t="str">
        <f t="shared" si="0"/>
        <v/>
      </c>
      <c r="E8" s="160" t="str">
        <f t="shared" si="0"/>
        <v/>
      </c>
      <c r="F8" s="160" t="str">
        <f t="shared" si="0"/>
        <v/>
      </c>
      <c r="G8" s="160" t="str">
        <f t="shared" si="0"/>
        <v/>
      </c>
      <c r="H8" s="161" t="str">
        <f t="shared" si="0"/>
        <v/>
      </c>
      <c r="I8" s="584" t="s">
        <v>136</v>
      </c>
      <c r="J8" s="563"/>
      <c r="K8" s="564"/>
      <c r="M8" s="219"/>
      <c r="N8" s="237"/>
      <c r="O8" s="251" t="s">
        <v>148</v>
      </c>
      <c r="P8" s="146">
        <v>2.2000000000000002</v>
      </c>
      <c r="Q8" s="146">
        <v>5810</v>
      </c>
      <c r="R8" s="146">
        <v>4990</v>
      </c>
      <c r="S8" s="146">
        <v>4350</v>
      </c>
      <c r="T8" s="146">
        <v>3830</v>
      </c>
      <c r="U8" s="146">
        <v>3410</v>
      </c>
      <c r="V8" s="146">
        <v>3060</v>
      </c>
      <c r="W8" s="226"/>
    </row>
    <row r="9" spans="1:23" ht="13.5" customHeight="1" thickBot="1" x14ac:dyDescent="0.3">
      <c r="A9" s="509" t="s">
        <v>113</v>
      </c>
      <c r="B9" s="510"/>
      <c r="C9" s="114"/>
      <c r="D9" s="114"/>
      <c r="E9" s="114"/>
      <c r="F9" s="114"/>
      <c r="G9" s="114"/>
      <c r="H9" s="114"/>
      <c r="I9" s="130"/>
      <c r="J9" s="130"/>
      <c r="K9" s="131"/>
      <c r="M9" s="219"/>
      <c r="N9" s="219"/>
      <c r="O9" s="239"/>
      <c r="P9" s="146">
        <v>2.4</v>
      </c>
      <c r="Q9" s="146">
        <v>4980</v>
      </c>
      <c r="R9" s="146">
        <v>4280</v>
      </c>
      <c r="S9" s="146">
        <v>3730</v>
      </c>
      <c r="T9" s="146">
        <v>3290</v>
      </c>
      <c r="U9" s="146">
        <v>2930</v>
      </c>
      <c r="V9" s="146">
        <v>2620</v>
      </c>
      <c r="W9" s="226"/>
    </row>
    <row r="10" spans="1:23" ht="13.5" customHeight="1" x14ac:dyDescent="0.25">
      <c r="A10" s="514" t="s">
        <v>244</v>
      </c>
      <c r="B10" s="515"/>
      <c r="C10" s="116"/>
      <c r="D10" s="74"/>
      <c r="E10" s="74"/>
      <c r="F10" s="74"/>
      <c r="G10" s="74"/>
      <c r="H10" s="117"/>
      <c r="I10" s="606" t="s">
        <v>349</v>
      </c>
      <c r="J10" s="606"/>
      <c r="K10" s="607"/>
      <c r="M10" s="219"/>
      <c r="N10" s="237"/>
      <c r="O10" s="146"/>
      <c r="P10" s="146">
        <v>2.6</v>
      </c>
      <c r="Q10" s="146">
        <v>4360</v>
      </c>
      <c r="R10" s="146">
        <v>3740</v>
      </c>
      <c r="S10" s="146">
        <v>3270</v>
      </c>
      <c r="T10" s="146">
        <v>2880</v>
      </c>
      <c r="U10" s="146">
        <v>2560</v>
      </c>
      <c r="V10" s="247">
        <v>2290</v>
      </c>
      <c r="W10" s="145"/>
    </row>
    <row r="11" spans="1:23" ht="13.5" customHeight="1" x14ac:dyDescent="0.25">
      <c r="A11" s="504" t="s">
        <v>147</v>
      </c>
      <c r="B11" s="511"/>
      <c r="C11" s="106"/>
      <c r="D11" s="75"/>
      <c r="E11" s="75"/>
      <c r="F11" s="75"/>
      <c r="G11" s="75"/>
      <c r="H11" s="107"/>
      <c r="I11" s="539" t="s">
        <v>350</v>
      </c>
      <c r="J11" s="539"/>
      <c r="K11" s="540"/>
      <c r="M11" s="219"/>
      <c r="N11" s="219"/>
      <c r="O11" s="250"/>
      <c r="P11" s="146">
        <v>2.8</v>
      </c>
      <c r="Q11" s="146">
        <v>3870</v>
      </c>
      <c r="R11" s="146">
        <v>3330</v>
      </c>
      <c r="S11" s="146">
        <v>2900</v>
      </c>
      <c r="T11" s="146">
        <v>2560</v>
      </c>
      <c r="U11" s="146">
        <v>2280</v>
      </c>
      <c r="V11" s="146">
        <v>2040</v>
      </c>
      <c r="W11" s="226"/>
    </row>
    <row r="12" spans="1:23" ht="15" customHeight="1" x14ac:dyDescent="0.25">
      <c r="A12" s="516" t="s">
        <v>214</v>
      </c>
      <c r="B12" s="517"/>
      <c r="C12" s="324" t="str">
        <f t="shared" ref="C12:H12" si="1">IF(C10="","",VLOOKUP(C11,$P$8:$V$13,HLOOKUP(C10,$Q$6:$V$7,2,FALSE),FALSE))</f>
        <v/>
      </c>
      <c r="D12" s="325" t="str">
        <f t="shared" si="1"/>
        <v/>
      </c>
      <c r="E12" s="325" t="str">
        <f t="shared" si="1"/>
        <v/>
      </c>
      <c r="F12" s="325" t="str">
        <f t="shared" si="1"/>
        <v/>
      </c>
      <c r="G12" s="150" t="str">
        <f t="shared" si="1"/>
        <v/>
      </c>
      <c r="H12" s="327" t="str">
        <f t="shared" si="1"/>
        <v/>
      </c>
      <c r="I12" s="539" t="s">
        <v>351</v>
      </c>
      <c r="J12" s="539"/>
      <c r="K12" s="540"/>
      <c r="M12" s="219"/>
      <c r="N12" s="219"/>
      <c r="O12" s="252"/>
      <c r="P12" s="149">
        <v>3</v>
      </c>
      <c r="Q12" s="146">
        <v>3480</v>
      </c>
      <c r="R12" s="146">
        <v>3000</v>
      </c>
      <c r="S12" s="146">
        <v>2610</v>
      </c>
      <c r="T12" s="146">
        <v>2300</v>
      </c>
      <c r="U12" s="146">
        <v>2050</v>
      </c>
      <c r="V12" s="146">
        <v>1840</v>
      </c>
      <c r="W12" s="226"/>
    </row>
    <row r="13" spans="1:23" ht="69.75" customHeight="1" x14ac:dyDescent="0.25">
      <c r="A13" s="529" t="s">
        <v>149</v>
      </c>
      <c r="B13" s="522"/>
      <c r="C13" s="24"/>
      <c r="D13" s="21"/>
      <c r="E13" s="21"/>
      <c r="F13" s="21"/>
      <c r="G13" s="326"/>
      <c r="H13" s="25"/>
      <c r="I13" s="609" t="s">
        <v>344</v>
      </c>
      <c r="J13" s="610"/>
      <c r="K13" s="611"/>
      <c r="M13" s="219"/>
      <c r="N13" s="219"/>
      <c r="O13" s="250"/>
      <c r="P13" s="146">
        <v>3.2</v>
      </c>
      <c r="Q13" s="235">
        <v>3170</v>
      </c>
      <c r="R13" s="235">
        <v>2720</v>
      </c>
      <c r="S13" s="146">
        <v>2380</v>
      </c>
      <c r="T13" s="235">
        <v>2090</v>
      </c>
      <c r="U13" s="146">
        <v>1860</v>
      </c>
      <c r="V13" s="235">
        <v>1670</v>
      </c>
      <c r="W13" s="226"/>
    </row>
    <row r="14" spans="1:23" ht="15.75" customHeight="1" x14ac:dyDescent="0.25">
      <c r="A14" s="504" t="s">
        <v>154</v>
      </c>
      <c r="B14" s="505"/>
      <c r="C14" s="122"/>
      <c r="D14" s="122"/>
      <c r="E14" s="253"/>
      <c r="F14" s="122"/>
      <c r="G14" s="254"/>
      <c r="H14" s="123"/>
      <c r="I14" s="539" t="s">
        <v>344</v>
      </c>
      <c r="J14" s="539"/>
      <c r="K14" s="540"/>
      <c r="M14" s="219"/>
      <c r="N14" s="219"/>
      <c r="O14" s="146"/>
      <c r="P14" s="234"/>
      <c r="Q14" s="145"/>
      <c r="R14" s="145"/>
      <c r="S14" s="224"/>
      <c r="T14" s="145"/>
      <c r="U14" s="224"/>
      <c r="V14" s="145"/>
      <c r="W14" s="145"/>
    </row>
    <row r="15" spans="1:23" ht="13.5" customHeight="1" x14ac:dyDescent="0.25">
      <c r="A15" s="504" t="s">
        <v>245</v>
      </c>
      <c r="B15" s="505"/>
      <c r="C15" s="156" t="str">
        <f t="shared" ref="C15:H15" si="2">IF(C13="","",IF(C13=$O$18,HLOOKUP(C14,$Q$18:$R$19,2,FALSE),IF(C13=$O$20,HLOOKUP(C14,$Q$20:$T$21,2,FALSE),HLOOKUP(C14,$Q$22:$R$23,2,FALSE))))</f>
        <v/>
      </c>
      <c r="D15" s="157" t="str">
        <f t="shared" si="2"/>
        <v/>
      </c>
      <c r="E15" s="157" t="str">
        <f t="shared" si="2"/>
        <v/>
      </c>
      <c r="F15" s="157" t="str">
        <f t="shared" si="2"/>
        <v/>
      </c>
      <c r="G15" s="157" t="str">
        <f t="shared" si="2"/>
        <v/>
      </c>
      <c r="H15" s="158" t="str">
        <f t="shared" si="2"/>
        <v/>
      </c>
      <c r="I15" s="539" t="s">
        <v>344</v>
      </c>
      <c r="J15" s="539"/>
      <c r="K15" s="540"/>
      <c r="M15" s="219"/>
      <c r="N15" s="219"/>
      <c r="O15" s="145"/>
      <c r="P15" s="145"/>
      <c r="Q15" s="233"/>
      <c r="R15" s="233"/>
      <c r="S15" s="145"/>
      <c r="T15" s="233"/>
      <c r="U15" s="145"/>
      <c r="V15" s="145"/>
      <c r="W15" s="145"/>
    </row>
    <row r="16" spans="1:23" ht="15" x14ac:dyDescent="0.25">
      <c r="A16" s="504" t="s">
        <v>232</v>
      </c>
      <c r="B16" s="505"/>
      <c r="C16" s="156" t="str">
        <f t="shared" ref="C16:H16" si="3">IF(C8="","",C12*C15*C8)</f>
        <v/>
      </c>
      <c r="D16" s="157" t="str">
        <f t="shared" si="3"/>
        <v/>
      </c>
      <c r="E16" s="157" t="str">
        <f t="shared" si="3"/>
        <v/>
      </c>
      <c r="F16" s="157" t="str">
        <f t="shared" si="3"/>
        <v/>
      </c>
      <c r="G16" s="157" t="str">
        <f t="shared" si="3"/>
        <v/>
      </c>
      <c r="H16" s="158" t="str">
        <f t="shared" si="3"/>
        <v/>
      </c>
      <c r="I16" s="539" t="s">
        <v>345</v>
      </c>
      <c r="J16" s="539"/>
      <c r="K16" s="540"/>
      <c r="M16" s="219"/>
      <c r="N16" s="219"/>
      <c r="O16" s="229" t="s">
        <v>150</v>
      </c>
      <c r="P16" s="224"/>
      <c r="Q16" s="145"/>
      <c r="R16" s="145"/>
      <c r="S16" s="224"/>
      <c r="T16" s="145"/>
      <c r="U16" s="226"/>
      <c r="V16" s="145"/>
      <c r="W16" s="145"/>
    </row>
    <row r="17" spans="1:23" ht="15" x14ac:dyDescent="0.25">
      <c r="A17" s="504" t="s">
        <v>229</v>
      </c>
      <c r="B17" s="505"/>
      <c r="C17" s="121"/>
      <c r="D17" s="122"/>
      <c r="E17" s="122"/>
      <c r="F17" s="122"/>
      <c r="G17" s="122"/>
      <c r="H17" s="123"/>
      <c r="I17" s="511" t="s">
        <v>254</v>
      </c>
      <c r="J17" s="511"/>
      <c r="K17" s="505"/>
      <c r="M17" s="219"/>
      <c r="N17" s="219"/>
      <c r="O17" s="226"/>
      <c r="P17" s="145"/>
      <c r="Q17" s="145"/>
      <c r="R17" s="145"/>
      <c r="S17" s="145"/>
      <c r="T17" s="145"/>
      <c r="U17" s="226"/>
      <c r="V17" s="145"/>
      <c r="W17" s="145"/>
    </row>
    <row r="18" spans="1:23" ht="15.75" customHeight="1" x14ac:dyDescent="0.25">
      <c r="A18" s="504" t="s">
        <v>293</v>
      </c>
      <c r="B18" s="505"/>
      <c r="C18" s="106"/>
      <c r="D18" s="75"/>
      <c r="E18" s="75"/>
      <c r="F18" s="75"/>
      <c r="G18" s="75"/>
      <c r="H18" s="107"/>
      <c r="I18" s="577" t="s">
        <v>253</v>
      </c>
      <c r="J18" s="577"/>
      <c r="K18" s="517"/>
      <c r="M18" s="219"/>
      <c r="N18" s="219"/>
      <c r="O18" s="249" t="s">
        <v>151</v>
      </c>
      <c r="P18" s="145"/>
      <c r="Q18" s="244" t="s">
        <v>155</v>
      </c>
      <c r="R18" s="244" t="s">
        <v>156</v>
      </c>
      <c r="S18" s="146"/>
      <c r="T18" s="247"/>
      <c r="U18" s="145"/>
      <c r="V18" s="228"/>
      <c r="W18" s="246" t="s">
        <v>151</v>
      </c>
    </row>
    <row r="19" spans="1:23" ht="15" customHeight="1" x14ac:dyDescent="0.25">
      <c r="A19" s="504" t="s">
        <v>249</v>
      </c>
      <c r="B19" s="505"/>
      <c r="C19" s="106"/>
      <c r="D19" s="75"/>
      <c r="E19" s="75"/>
      <c r="F19" s="75"/>
      <c r="G19" s="75"/>
      <c r="H19" s="107"/>
      <c r="I19" s="504" t="s">
        <v>143</v>
      </c>
      <c r="J19" s="511"/>
      <c r="K19" s="505"/>
      <c r="M19" s="219"/>
      <c r="N19" s="219"/>
      <c r="O19" s="226"/>
      <c r="P19" s="145"/>
      <c r="Q19" s="146">
        <v>1.2</v>
      </c>
      <c r="R19" s="146">
        <v>1</v>
      </c>
      <c r="S19" s="146"/>
      <c r="T19" s="146"/>
      <c r="U19" s="226"/>
      <c r="V19" s="228"/>
      <c r="W19" s="245" t="s">
        <v>152</v>
      </c>
    </row>
    <row r="20" spans="1:23" ht="15" customHeight="1" x14ac:dyDescent="0.25">
      <c r="A20" s="504" t="s">
        <v>159</v>
      </c>
      <c r="B20" s="505"/>
      <c r="C20" s="156" t="str">
        <f t="shared" ref="C20:H20" si="4">IF(C16="","",(C16/C17)^0.5)</f>
        <v/>
      </c>
      <c r="D20" s="157" t="str">
        <f t="shared" si="4"/>
        <v/>
      </c>
      <c r="E20" s="157" t="str">
        <f t="shared" si="4"/>
        <v/>
      </c>
      <c r="F20" s="157" t="str">
        <f t="shared" si="4"/>
        <v/>
      </c>
      <c r="G20" s="157" t="str">
        <f t="shared" si="4"/>
        <v/>
      </c>
      <c r="H20" s="158" t="str">
        <f t="shared" si="4"/>
        <v/>
      </c>
      <c r="I20" s="511" t="s">
        <v>117</v>
      </c>
      <c r="J20" s="511"/>
      <c r="K20" s="505"/>
      <c r="M20" s="221"/>
      <c r="N20" s="221"/>
      <c r="O20" s="246" t="s">
        <v>152</v>
      </c>
      <c r="P20" s="145"/>
      <c r="Q20" s="244" t="s">
        <v>155</v>
      </c>
      <c r="R20" s="244" t="s">
        <v>156</v>
      </c>
      <c r="S20" s="244" t="s">
        <v>157</v>
      </c>
      <c r="T20" s="244" t="s">
        <v>158</v>
      </c>
      <c r="U20" s="229"/>
      <c r="V20" s="145"/>
      <c r="W20" s="246" t="s">
        <v>153</v>
      </c>
    </row>
    <row r="21" spans="1:23" ht="13.5" customHeight="1" x14ac:dyDescent="0.25">
      <c r="A21" s="504" t="s">
        <v>160</v>
      </c>
      <c r="B21" s="505"/>
      <c r="C21" s="156" t="str">
        <f t="shared" ref="C21:H21" si="5">IF(C20="","",C17*C20)</f>
        <v/>
      </c>
      <c r="D21" s="157" t="str">
        <f t="shared" si="5"/>
        <v/>
      </c>
      <c r="E21" s="157" t="str">
        <f t="shared" si="5"/>
        <v/>
      </c>
      <c r="F21" s="157" t="str">
        <f t="shared" si="5"/>
        <v/>
      </c>
      <c r="G21" s="157" t="str">
        <f t="shared" si="5"/>
        <v/>
      </c>
      <c r="H21" s="158" t="str">
        <f t="shared" si="5"/>
        <v/>
      </c>
      <c r="I21" s="511" t="s">
        <v>117</v>
      </c>
      <c r="J21" s="511"/>
      <c r="K21" s="505"/>
      <c r="M21" s="145"/>
      <c r="N21" s="145"/>
      <c r="O21" s="230"/>
      <c r="P21" s="145"/>
      <c r="Q21" s="146">
        <v>1.5</v>
      </c>
      <c r="R21" s="146">
        <v>1.2</v>
      </c>
      <c r="S21" s="146">
        <v>1.1000000000000001</v>
      </c>
      <c r="T21" s="149">
        <v>1</v>
      </c>
      <c r="U21" s="226"/>
      <c r="V21" s="145"/>
      <c r="W21" s="145"/>
    </row>
    <row r="22" spans="1:23" ht="15" customHeight="1" thickBot="1" x14ac:dyDescent="0.3">
      <c r="A22" s="516" t="s">
        <v>290</v>
      </c>
      <c r="B22" s="517"/>
      <c r="C22" s="173" t="str">
        <f t="shared" ref="C22:H22" si="6">IF(C16="","",C16*C19)</f>
        <v/>
      </c>
      <c r="D22" s="174" t="str">
        <f t="shared" si="6"/>
        <v/>
      </c>
      <c r="E22" s="174" t="str">
        <f t="shared" si="6"/>
        <v/>
      </c>
      <c r="F22" s="174" t="str">
        <f t="shared" si="6"/>
        <v/>
      </c>
      <c r="G22" s="174" t="str">
        <f t="shared" si="6"/>
        <v/>
      </c>
      <c r="H22" s="175" t="str">
        <f t="shared" si="6"/>
        <v/>
      </c>
      <c r="I22" s="577" t="s">
        <v>255</v>
      </c>
      <c r="J22" s="577"/>
      <c r="K22" s="517"/>
      <c r="M22" s="145"/>
      <c r="N22" s="145"/>
      <c r="O22" s="248" t="s">
        <v>153</v>
      </c>
      <c r="P22" s="145"/>
      <c r="Q22" s="244" t="s">
        <v>155</v>
      </c>
      <c r="R22" s="244" t="s">
        <v>156</v>
      </c>
      <c r="S22" s="146"/>
      <c r="T22" s="146"/>
      <c r="U22" s="226"/>
      <c r="V22" s="145"/>
      <c r="W22" s="145"/>
    </row>
    <row r="23" spans="1:23" ht="13.5" customHeight="1" thickBot="1" x14ac:dyDescent="0.25">
      <c r="A23" s="509" t="s">
        <v>163</v>
      </c>
      <c r="B23" s="510"/>
      <c r="C23" s="114"/>
      <c r="D23" s="114"/>
      <c r="E23" s="114"/>
      <c r="F23" s="114"/>
      <c r="G23" s="114"/>
      <c r="H23" s="114"/>
      <c r="I23" s="130"/>
      <c r="J23" s="130"/>
      <c r="K23" s="131"/>
      <c r="M23" s="145"/>
      <c r="N23" s="228"/>
      <c r="O23" s="233"/>
      <c r="P23" s="145"/>
      <c r="Q23" s="235">
        <v>1.2</v>
      </c>
      <c r="R23" s="146">
        <v>1.1000000000000001</v>
      </c>
      <c r="S23" s="146"/>
      <c r="T23" s="247"/>
      <c r="U23" s="226"/>
      <c r="V23" s="145"/>
      <c r="W23" s="145"/>
    </row>
    <row r="24" spans="1:23" ht="13.5" x14ac:dyDescent="0.25">
      <c r="A24" s="526" t="s">
        <v>32</v>
      </c>
      <c r="B24" s="528"/>
      <c r="C24" s="162" t="str">
        <f t="shared" ref="C24:H24" si="7">IF(C4="","",HLOOKUP(C4,$N$30:$S$31,2,FALSE))</f>
        <v/>
      </c>
      <c r="D24" s="163" t="str">
        <f t="shared" si="7"/>
        <v/>
      </c>
      <c r="E24" s="163" t="str">
        <f t="shared" si="7"/>
        <v/>
      </c>
      <c r="F24" s="163" t="str">
        <f t="shared" si="7"/>
        <v/>
      </c>
      <c r="G24" s="163" t="str">
        <f t="shared" si="7"/>
        <v/>
      </c>
      <c r="H24" s="164" t="str">
        <f t="shared" si="7"/>
        <v/>
      </c>
      <c r="I24" s="511" t="s">
        <v>346</v>
      </c>
      <c r="J24" s="511"/>
      <c r="K24" s="505"/>
      <c r="M24" s="145"/>
      <c r="N24" s="145"/>
      <c r="O24" s="145"/>
      <c r="P24" s="224"/>
      <c r="Q24" s="145"/>
      <c r="R24" s="224"/>
      <c r="S24" s="231"/>
      <c r="T24" s="229"/>
      <c r="U24" s="145"/>
      <c r="V24" s="145"/>
      <c r="W24" s="145"/>
    </row>
    <row r="25" spans="1:23" ht="13.5" x14ac:dyDescent="0.25">
      <c r="A25" s="504" t="s">
        <v>291</v>
      </c>
      <c r="B25" s="505"/>
      <c r="C25" s="106"/>
      <c r="D25" s="75"/>
      <c r="E25" s="75"/>
      <c r="F25" s="75"/>
      <c r="G25" s="75"/>
      <c r="H25" s="107"/>
      <c r="I25" s="511" t="s">
        <v>347</v>
      </c>
      <c r="J25" s="511"/>
      <c r="K25" s="505"/>
      <c r="M25" s="145"/>
      <c r="N25" s="145"/>
      <c r="O25" s="145"/>
      <c r="P25" s="145"/>
      <c r="Q25" s="145"/>
      <c r="R25" s="145"/>
      <c r="S25" s="145"/>
      <c r="T25" s="145"/>
      <c r="U25" s="145"/>
      <c r="V25" s="145"/>
      <c r="W25" s="145"/>
    </row>
    <row r="26" spans="1:23" ht="13.5" x14ac:dyDescent="0.25">
      <c r="A26" s="504" t="s">
        <v>33</v>
      </c>
      <c r="B26" s="505"/>
      <c r="C26" s="156" t="str">
        <f t="shared" ref="C26:H26" si="8">IF(C24="","",C24/C25)</f>
        <v/>
      </c>
      <c r="D26" s="157" t="str">
        <f t="shared" si="8"/>
        <v/>
      </c>
      <c r="E26" s="157" t="str">
        <f t="shared" si="8"/>
        <v/>
      </c>
      <c r="F26" s="157" t="str">
        <f t="shared" si="8"/>
        <v/>
      </c>
      <c r="G26" s="157" t="str">
        <f t="shared" si="8"/>
        <v/>
      </c>
      <c r="H26" s="158" t="str">
        <f t="shared" si="8"/>
        <v/>
      </c>
      <c r="I26" s="511" t="s">
        <v>197</v>
      </c>
      <c r="J26" s="511"/>
      <c r="K26" s="505"/>
      <c r="M26" s="145"/>
      <c r="N26" s="145"/>
      <c r="O26" s="145"/>
      <c r="P26" s="145"/>
      <c r="Q26" s="145"/>
      <c r="R26" s="145"/>
      <c r="S26" s="145"/>
      <c r="T26" s="145"/>
      <c r="U26" s="145"/>
      <c r="V26" s="145"/>
      <c r="W26" s="145"/>
    </row>
    <row r="27" spans="1:23" ht="13.5" x14ac:dyDescent="0.25">
      <c r="A27" s="504" t="s">
        <v>251</v>
      </c>
      <c r="B27" s="505"/>
      <c r="C27" s="187"/>
      <c r="D27" s="188"/>
      <c r="E27" s="188"/>
      <c r="F27" s="188"/>
      <c r="G27" s="188"/>
      <c r="H27" s="189"/>
      <c r="I27" s="604" t="s">
        <v>332</v>
      </c>
      <c r="J27" s="565"/>
      <c r="K27" s="566"/>
      <c r="L27" s="96"/>
      <c r="M27" s="145"/>
      <c r="N27" s="145"/>
      <c r="O27" s="145"/>
      <c r="P27" s="145"/>
      <c r="Q27" s="145"/>
      <c r="R27" s="145"/>
      <c r="S27" s="145"/>
      <c r="T27" s="145"/>
      <c r="U27" s="145"/>
      <c r="V27" s="145"/>
      <c r="W27" s="145"/>
    </row>
    <row r="28" spans="1:23" ht="15" x14ac:dyDescent="0.25">
      <c r="A28" s="504" t="s">
        <v>162</v>
      </c>
      <c r="B28" s="505"/>
      <c r="C28" s="124"/>
      <c r="D28" s="118"/>
      <c r="E28" s="118"/>
      <c r="F28" s="118"/>
      <c r="G28" s="118"/>
      <c r="H28" s="125"/>
      <c r="I28" s="605"/>
      <c r="J28" s="567"/>
      <c r="K28" s="568"/>
      <c r="M28" s="219"/>
      <c r="N28" s="219"/>
      <c r="O28" s="219"/>
      <c r="P28" s="219"/>
      <c r="Q28" s="219"/>
      <c r="R28" s="219"/>
      <c r="S28" s="219"/>
      <c r="T28" s="219"/>
      <c r="U28" s="219"/>
      <c r="V28" s="219"/>
      <c r="W28" s="219"/>
    </row>
    <row r="29" spans="1:23" ht="15.75" customHeight="1" thickBot="1" x14ac:dyDescent="0.3">
      <c r="A29" s="584" t="s">
        <v>294</v>
      </c>
      <c r="B29" s="564"/>
      <c r="C29" s="173" t="str">
        <f t="shared" ref="C29:H29" si="9">IF(C4="","",IF(C27="x",ROUND(0.5*C22,0),IF(C26&lt;0.5,0,ROUND(C26/12*C28*(HLOOKUP(C4,$N$30:$S$32,3,FALSE)),0))))</f>
        <v/>
      </c>
      <c r="D29" s="174" t="str">
        <f t="shared" si="9"/>
        <v/>
      </c>
      <c r="E29" s="174" t="str">
        <f t="shared" si="9"/>
        <v/>
      </c>
      <c r="F29" s="174" t="str">
        <f t="shared" si="9"/>
        <v/>
      </c>
      <c r="G29" s="174" t="str">
        <f t="shared" si="9"/>
        <v/>
      </c>
      <c r="H29" s="175" t="str">
        <f t="shared" si="9"/>
        <v/>
      </c>
      <c r="I29" s="612" t="s">
        <v>390</v>
      </c>
      <c r="J29" s="612"/>
      <c r="K29" s="613"/>
      <c r="L29" s="95"/>
      <c r="M29" s="219"/>
      <c r="N29" s="608"/>
      <c r="O29" s="608"/>
      <c r="P29" s="608"/>
      <c r="Q29" s="608"/>
      <c r="R29" s="608"/>
      <c r="S29" s="608"/>
      <c r="T29" s="608"/>
      <c r="U29" s="608"/>
      <c r="V29" s="608"/>
      <c r="W29" s="219"/>
    </row>
    <row r="30" spans="1:23" ht="15.75" thickBot="1" x14ac:dyDescent="0.3">
      <c r="A30" s="509" t="s">
        <v>252</v>
      </c>
      <c r="B30" s="510"/>
      <c r="C30" s="510"/>
      <c r="D30" s="510"/>
      <c r="E30" s="510"/>
      <c r="F30" s="510"/>
      <c r="G30" s="510"/>
      <c r="H30" s="510"/>
      <c r="I30" s="510"/>
      <c r="J30" s="510"/>
      <c r="K30" s="518"/>
      <c r="L30" s="95"/>
      <c r="M30" s="239" t="s">
        <v>164</v>
      </c>
      <c r="N30" s="234">
        <f>'1. Erosion Haz + Basins'!B13</f>
        <v>0</v>
      </c>
      <c r="O30" s="234">
        <f>'1. Erosion Haz + Basins'!C13</f>
        <v>0</v>
      </c>
      <c r="P30" s="234">
        <f>'1. Erosion Haz + Basins'!D13</f>
        <v>0</v>
      </c>
      <c r="Q30" s="234">
        <f>'1. Erosion Haz + Basins'!E13</f>
        <v>0</v>
      </c>
      <c r="R30" s="234">
        <f>'1. Erosion Haz + Basins'!F13</f>
        <v>0</v>
      </c>
      <c r="S30" s="234">
        <f>'1. Erosion Haz + Basins'!G13</f>
        <v>0</v>
      </c>
      <c r="T30" s="220"/>
      <c r="U30" s="220"/>
      <c r="V30" s="220"/>
      <c r="W30" s="220"/>
    </row>
    <row r="31" spans="1:23" ht="14.25" customHeight="1" thickBot="1" x14ac:dyDescent="0.3">
      <c r="A31" s="614" t="s">
        <v>130</v>
      </c>
      <c r="B31" s="615"/>
      <c r="C31" s="165" t="str">
        <f t="shared" ref="C31:H31" si="10">IF(C4="","",C4)</f>
        <v/>
      </c>
      <c r="D31" s="177" t="str">
        <f t="shared" si="10"/>
        <v/>
      </c>
      <c r="E31" s="177" t="str">
        <f t="shared" si="10"/>
        <v/>
      </c>
      <c r="F31" s="177" t="str">
        <f t="shared" si="10"/>
        <v/>
      </c>
      <c r="G31" s="177" t="str">
        <f t="shared" si="10"/>
        <v/>
      </c>
      <c r="H31" s="255" t="str">
        <f t="shared" si="10"/>
        <v/>
      </c>
      <c r="I31" s="616"/>
      <c r="J31" s="617"/>
      <c r="K31" s="618"/>
      <c r="L31" s="109"/>
      <c r="M31" s="222" t="s">
        <v>165</v>
      </c>
      <c r="N31" s="149" t="str">
        <f>'1. Erosion Haz + Basins'!B40</f>
        <v/>
      </c>
      <c r="O31" s="149" t="str">
        <f>'1. Erosion Haz + Basins'!C40</f>
        <v/>
      </c>
      <c r="P31" s="149" t="str">
        <f>'1. Erosion Haz + Basins'!D40</f>
        <v/>
      </c>
      <c r="Q31" s="149" t="str">
        <f>'1. Erosion Haz + Basins'!E40</f>
        <v/>
      </c>
      <c r="R31" s="149" t="str">
        <f>'1. Erosion Haz + Basins'!F40</f>
        <v/>
      </c>
      <c r="S31" s="149" t="str">
        <f>'1. Erosion Haz + Basins'!G40</f>
        <v/>
      </c>
      <c r="T31" s="219"/>
      <c r="U31" s="219"/>
      <c r="V31" s="219"/>
      <c r="W31" s="219"/>
    </row>
    <row r="32" spans="1:23" ht="14.25" customHeight="1" x14ac:dyDescent="0.25">
      <c r="A32" s="504" t="s">
        <v>232</v>
      </c>
      <c r="B32" s="505"/>
      <c r="C32" s="256" t="str">
        <f t="shared" ref="C32:H32" si="11">IF(C31="","",C16)</f>
        <v/>
      </c>
      <c r="D32" s="169" t="str">
        <f t="shared" si="11"/>
        <v/>
      </c>
      <c r="E32" s="169" t="str">
        <f t="shared" si="11"/>
        <v/>
      </c>
      <c r="F32" s="169" t="str">
        <f t="shared" si="11"/>
        <v/>
      </c>
      <c r="G32" s="169" t="str">
        <f t="shared" si="11"/>
        <v/>
      </c>
      <c r="H32" s="257" t="str">
        <f t="shared" si="11"/>
        <v/>
      </c>
      <c r="I32" s="621" t="s">
        <v>348</v>
      </c>
      <c r="J32" s="519"/>
      <c r="K32" s="520"/>
      <c r="L32" s="109"/>
      <c r="M32" s="222" t="s">
        <v>166</v>
      </c>
      <c r="N32" s="145">
        <f>'1. Erosion Haz + Basins'!B15</f>
        <v>0</v>
      </c>
      <c r="O32" s="145">
        <f>'1. Erosion Haz + Basins'!C15</f>
        <v>0</v>
      </c>
      <c r="P32" s="145">
        <f>'1. Erosion Haz + Basins'!D15</f>
        <v>0</v>
      </c>
      <c r="Q32" s="145">
        <f>'1. Erosion Haz + Basins'!E15</f>
        <v>0</v>
      </c>
      <c r="R32" s="145">
        <f>'1. Erosion Haz + Basins'!F15</f>
        <v>0</v>
      </c>
      <c r="S32" s="145">
        <f>'1. Erosion Haz + Basins'!G15</f>
        <v>0</v>
      </c>
      <c r="T32" s="219"/>
      <c r="U32" s="219"/>
      <c r="V32" s="219"/>
      <c r="W32" s="219"/>
    </row>
    <row r="33" spans="1:23" ht="15" x14ac:dyDescent="0.25">
      <c r="A33" s="504" t="s">
        <v>256</v>
      </c>
      <c r="B33" s="505"/>
      <c r="C33" s="263" t="str">
        <f t="shared" ref="C33:H33" si="12">IF(C31="","",C19)</f>
        <v/>
      </c>
      <c r="D33" s="154" t="str">
        <f t="shared" si="12"/>
        <v/>
      </c>
      <c r="E33" s="154" t="str">
        <f t="shared" si="12"/>
        <v/>
      </c>
      <c r="F33" s="154" t="str">
        <f t="shared" si="12"/>
        <v/>
      </c>
      <c r="G33" s="154" t="str">
        <f t="shared" si="12"/>
        <v/>
      </c>
      <c r="H33" s="264" t="str">
        <f t="shared" si="12"/>
        <v/>
      </c>
      <c r="I33" s="619"/>
      <c r="J33" s="619"/>
      <c r="K33" s="620"/>
      <c r="L33" s="109"/>
      <c r="M33" s="221"/>
      <c r="N33" s="220"/>
      <c r="O33" s="219"/>
      <c r="P33" s="219"/>
      <c r="Q33" s="219"/>
      <c r="R33" s="219"/>
      <c r="S33" s="219"/>
      <c r="T33" s="219"/>
      <c r="U33" s="219"/>
      <c r="V33" s="219"/>
      <c r="W33" s="219"/>
    </row>
    <row r="34" spans="1:23" ht="15.75" customHeight="1" x14ac:dyDescent="0.25">
      <c r="A34" s="516" t="s">
        <v>290</v>
      </c>
      <c r="B34" s="517"/>
      <c r="C34" s="258" t="str">
        <f t="shared" ref="C34:H34" si="13">IF(C31="","",C22)</f>
        <v/>
      </c>
      <c r="D34" s="157" t="str">
        <f t="shared" si="13"/>
        <v/>
      </c>
      <c r="E34" s="157" t="str">
        <f t="shared" si="13"/>
        <v/>
      </c>
      <c r="F34" s="157" t="str">
        <f t="shared" si="13"/>
        <v/>
      </c>
      <c r="G34" s="157" t="str">
        <f t="shared" si="13"/>
        <v/>
      </c>
      <c r="H34" s="259" t="str">
        <f t="shared" si="13"/>
        <v/>
      </c>
      <c r="I34" s="619"/>
      <c r="J34" s="619"/>
      <c r="K34" s="620"/>
      <c r="L34" s="109"/>
      <c r="M34" s="221"/>
      <c r="N34" s="220"/>
      <c r="O34" s="219"/>
      <c r="P34" s="219"/>
      <c r="Q34" s="219"/>
      <c r="R34" s="219"/>
      <c r="S34" s="219"/>
      <c r="T34" s="219"/>
      <c r="U34" s="219"/>
      <c r="V34" s="219"/>
      <c r="W34" s="219"/>
    </row>
    <row r="35" spans="1:23" ht="15" x14ac:dyDescent="0.25">
      <c r="A35" s="504" t="s">
        <v>294</v>
      </c>
      <c r="B35" s="505"/>
      <c r="C35" s="258" t="str">
        <f t="shared" ref="C35:H35" si="14">IF(C31="","",C29)</f>
        <v/>
      </c>
      <c r="D35" s="157" t="str">
        <f t="shared" si="14"/>
        <v/>
      </c>
      <c r="E35" s="157" t="str">
        <f t="shared" si="14"/>
        <v/>
      </c>
      <c r="F35" s="157" t="str">
        <f t="shared" si="14"/>
        <v/>
      </c>
      <c r="G35" s="157" t="str">
        <f t="shared" si="14"/>
        <v/>
      </c>
      <c r="H35" s="259" t="str">
        <f t="shared" si="14"/>
        <v/>
      </c>
      <c r="I35" s="621" t="s">
        <v>333</v>
      </c>
      <c r="J35" s="519"/>
      <c r="K35" s="520"/>
      <c r="L35" s="110"/>
      <c r="M35" s="221"/>
      <c r="N35" s="220"/>
      <c r="O35" s="219"/>
      <c r="P35" s="219"/>
      <c r="Q35" s="219"/>
      <c r="R35" s="219"/>
      <c r="S35" s="219"/>
      <c r="T35" s="219"/>
      <c r="U35" s="219"/>
      <c r="V35" s="219"/>
      <c r="W35" s="219"/>
    </row>
    <row r="36" spans="1:23" ht="14.25" customHeight="1" thickBot="1" x14ac:dyDescent="0.3">
      <c r="A36" s="584" t="s">
        <v>295</v>
      </c>
      <c r="B36" s="564"/>
      <c r="C36" s="260" t="str">
        <f t="shared" ref="C36:H36" si="15">IF(C29="","",C29+C22)</f>
        <v/>
      </c>
      <c r="D36" s="261" t="str">
        <f t="shared" si="15"/>
        <v/>
      </c>
      <c r="E36" s="261" t="str">
        <f t="shared" si="15"/>
        <v/>
      </c>
      <c r="F36" s="261" t="str">
        <f t="shared" si="15"/>
        <v/>
      </c>
      <c r="G36" s="261" t="str">
        <f t="shared" si="15"/>
        <v/>
      </c>
      <c r="H36" s="262" t="str">
        <f t="shared" si="15"/>
        <v/>
      </c>
      <c r="I36" s="622"/>
      <c r="J36" s="623"/>
      <c r="K36" s="624"/>
      <c r="L36" s="110"/>
      <c r="M36" s="221"/>
      <c r="N36" s="220"/>
      <c r="O36" s="219"/>
      <c r="P36" s="219"/>
      <c r="Q36" s="219"/>
      <c r="R36" s="219"/>
      <c r="S36" s="219"/>
      <c r="T36" s="219"/>
      <c r="U36" s="219"/>
      <c r="V36" s="219"/>
      <c r="W36" s="219"/>
    </row>
    <row r="37" spans="1:23" ht="15" x14ac:dyDescent="0.25">
      <c r="A37" s="330"/>
      <c r="B37" s="330"/>
      <c r="C37" s="330"/>
      <c r="D37" s="330"/>
      <c r="E37" s="330"/>
      <c r="F37" s="330"/>
      <c r="G37" s="330"/>
      <c r="H37" s="330"/>
      <c r="K37" s="134" t="str">
        <f>"Version "&amp;Information!B13</f>
        <v>Version 5.9</v>
      </c>
      <c r="L37" s="110"/>
      <c r="M37" s="221"/>
      <c r="N37" s="220"/>
      <c r="O37" s="219"/>
      <c r="P37" s="219"/>
      <c r="Q37" s="219"/>
      <c r="R37" s="219"/>
      <c r="S37" s="219"/>
      <c r="T37" s="219"/>
      <c r="U37" s="219"/>
      <c r="V37" s="219"/>
      <c r="W37" s="219"/>
    </row>
    <row r="38" spans="1:23" ht="14.25" customHeight="1" x14ac:dyDescent="0.25">
      <c r="L38" s="96"/>
      <c r="M38" s="221"/>
      <c r="N38" s="220"/>
      <c r="O38" s="219"/>
      <c r="P38" s="219"/>
      <c r="Q38" s="219"/>
      <c r="R38" s="219"/>
      <c r="S38" s="219"/>
      <c r="T38" s="219"/>
      <c r="U38" s="219"/>
      <c r="V38" s="219"/>
      <c r="W38" s="219"/>
    </row>
  </sheetData>
  <sheetProtection algorithmName="SHA-512" hashValue="CCByN4XBCrmlYobmIEAObXUwdXJiYbEXlB6YpkQx7zSrhdBlChTHI6823xizM8i3Ogrv8AwjOUdbjZ+S3WbyBw==" saltValue="WG0dkIdHqT1RcNXMCKVSgA==" spinCount="100000" sheet="1" objects="1" formatColumns="0" selectLockedCells="1"/>
  <mergeCells count="66">
    <mergeCell ref="A35:B35"/>
    <mergeCell ref="A32:B32"/>
    <mergeCell ref="I32:K32"/>
    <mergeCell ref="A36:B36"/>
    <mergeCell ref="I35:K35"/>
    <mergeCell ref="I36:K36"/>
    <mergeCell ref="A30:K30"/>
    <mergeCell ref="A31:B31"/>
    <mergeCell ref="A34:B34"/>
    <mergeCell ref="A33:B33"/>
    <mergeCell ref="I31:K31"/>
    <mergeCell ref="I34:K34"/>
    <mergeCell ref="I33:K33"/>
    <mergeCell ref="T29:V29"/>
    <mergeCell ref="A12:B12"/>
    <mergeCell ref="I12:K12"/>
    <mergeCell ref="A11:B11"/>
    <mergeCell ref="I11:K11"/>
    <mergeCell ref="A13:B13"/>
    <mergeCell ref="I13:K13"/>
    <mergeCell ref="A14:B14"/>
    <mergeCell ref="I14:K14"/>
    <mergeCell ref="N29:S29"/>
    <mergeCell ref="A29:B29"/>
    <mergeCell ref="I29:K29"/>
    <mergeCell ref="A21:B21"/>
    <mergeCell ref="I26:K26"/>
    <mergeCell ref="A26:B26"/>
    <mergeCell ref="A23:B23"/>
    <mergeCell ref="I8:K8"/>
    <mergeCell ref="A7:B7"/>
    <mergeCell ref="A9:B9"/>
    <mergeCell ref="I10:K10"/>
    <mergeCell ref="A10:B10"/>
    <mergeCell ref="A8:B8"/>
    <mergeCell ref="I7:K7"/>
    <mergeCell ref="A6:B6"/>
    <mergeCell ref="A24:B24"/>
    <mergeCell ref="I25:K25"/>
    <mergeCell ref="A27:B27"/>
    <mergeCell ref="A28:B28"/>
    <mergeCell ref="I19:K19"/>
    <mergeCell ref="A20:B20"/>
    <mergeCell ref="I20:K20"/>
    <mergeCell ref="A19:B19"/>
    <mergeCell ref="I24:K24"/>
    <mergeCell ref="I18:K18"/>
    <mergeCell ref="I21:K21"/>
    <mergeCell ref="A22:B22"/>
    <mergeCell ref="I22:K22"/>
    <mergeCell ref="A15:B15"/>
    <mergeCell ref="I27:K28"/>
    <mergeCell ref="A1:F1"/>
    <mergeCell ref="C3:H3"/>
    <mergeCell ref="A4:B4"/>
    <mergeCell ref="A5:B5"/>
    <mergeCell ref="I5:K5"/>
    <mergeCell ref="I3:K3"/>
    <mergeCell ref="I4:K4"/>
    <mergeCell ref="A25:B25"/>
    <mergeCell ref="I15:K15"/>
    <mergeCell ref="A16:B16"/>
    <mergeCell ref="I16:K16"/>
    <mergeCell ref="A17:B17"/>
    <mergeCell ref="A18:B18"/>
    <mergeCell ref="I17:K17"/>
  </mergeCells>
  <conditionalFormatting sqref="C19:H19">
    <cfRule type="cellIs" dxfId="1" priority="1" stopIfTrue="1" operator="greaterThan">
      <formula>2</formula>
    </cfRule>
    <cfRule type="cellIs" dxfId="0" priority="2" stopIfTrue="1" operator="lessThan">
      <formula>0.6</formula>
    </cfRule>
  </conditionalFormatting>
  <dataValidations count="4">
    <dataValidation type="list" allowBlank="1" showInputMessage="1" showErrorMessage="1" sqref="C11:H11" xr:uid="{C32C4476-58BC-4392-B08E-DCCCC4E062F6}">
      <formula1>$P$7:$P$13</formula1>
    </dataValidation>
    <dataValidation type="list" allowBlank="1" showInputMessage="1" showErrorMessage="1" sqref="C10:H10" xr:uid="{D4692794-2C76-41F7-B1B8-E223AB37CEC9}">
      <formula1>$P$6:$V$6</formula1>
    </dataValidation>
    <dataValidation type="list" allowBlank="1" showInputMessage="1" showErrorMessage="1" sqref="C14:H14" xr:uid="{58F665A9-EF25-4162-BAB5-97B978F36E67}">
      <formula1>IF(C13=$O$20,$P$20:$T$20,$P$18:$R$18)</formula1>
    </dataValidation>
    <dataValidation type="list" allowBlank="1" showInputMessage="1" showErrorMessage="1" sqref="C13:H13" xr:uid="{089B2661-BDB1-4063-BC2B-E0EF86FF9E65}">
      <formula1>$W$17:$W$20</formula1>
    </dataValidation>
  </dataValidations>
  <pageMargins left="0.7" right="0.7" top="0.75" bottom="0.75" header="0.3" footer="0.3"/>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195F4-83C0-48E2-9DCE-5F91676FB7C5}">
  <sheetPr codeName="Sheet10"/>
  <dimension ref="A1:AA49"/>
  <sheetViews>
    <sheetView view="pageBreakPreview" zoomScaleNormal="115" zoomScaleSheetLayoutView="100" workbookViewId="0">
      <selection activeCell="C23" sqref="C23"/>
    </sheetView>
  </sheetViews>
  <sheetFormatPr defaultRowHeight="12.75" x14ac:dyDescent="0.2"/>
  <cols>
    <col min="1" max="1" width="10.85546875" customWidth="1"/>
    <col min="2" max="2" width="14.42578125" customWidth="1"/>
    <col min="3" max="8" width="15.7109375" customWidth="1"/>
    <col min="9" max="9" width="9.140625" customWidth="1"/>
    <col min="10" max="10" width="8.42578125" customWidth="1"/>
    <col min="11" max="11" width="26.28515625" customWidth="1"/>
    <col min="12" max="12" width="39.85546875" customWidth="1"/>
    <col min="13" max="13" width="35.140625" bestFit="1" customWidth="1"/>
    <col min="14" max="14" width="12.7109375" bestFit="1" customWidth="1"/>
    <col min="15" max="15" width="14.5703125" customWidth="1"/>
    <col min="16" max="16" width="13.42578125" customWidth="1"/>
    <col min="17" max="17" width="12.140625" bestFit="1" customWidth="1"/>
    <col min="18" max="18" width="18.140625" customWidth="1"/>
    <col min="19" max="19" width="16.28515625" customWidth="1"/>
    <col min="25" max="25" width="62.42578125" customWidth="1"/>
  </cols>
  <sheetData>
    <row r="1" spans="1:21" ht="24.75" customHeight="1" x14ac:dyDescent="0.25">
      <c r="A1" s="530" t="s">
        <v>207</v>
      </c>
      <c r="B1" s="531"/>
      <c r="C1" s="531"/>
      <c r="D1" s="531"/>
      <c r="E1" s="531"/>
      <c r="F1" s="531"/>
      <c r="G1" s="343"/>
      <c r="H1" s="343"/>
      <c r="M1" s="145"/>
      <c r="N1" s="145"/>
      <c r="O1" s="145"/>
      <c r="P1" s="145"/>
      <c r="Q1" s="145"/>
      <c r="R1" s="145"/>
      <c r="S1" s="145"/>
      <c r="T1" s="145"/>
      <c r="U1" s="93"/>
    </row>
    <row r="2" spans="1:21" ht="9.75" customHeight="1" thickBot="1" x14ac:dyDescent="0.3">
      <c r="B2" s="57"/>
      <c r="M2" s="269"/>
      <c r="N2" s="145"/>
      <c r="O2" s="145"/>
      <c r="P2" s="145"/>
      <c r="Q2" s="145"/>
      <c r="R2" s="145"/>
      <c r="S2" s="145"/>
      <c r="T2" s="145"/>
      <c r="U2" s="93"/>
    </row>
    <row r="3" spans="1:21" ht="13.5" thickBot="1" x14ac:dyDescent="0.25">
      <c r="A3" s="111"/>
      <c r="B3" s="112"/>
      <c r="C3" s="536" t="s">
        <v>43</v>
      </c>
      <c r="D3" s="537"/>
      <c r="E3" s="537"/>
      <c r="F3" s="537"/>
      <c r="G3" s="537"/>
      <c r="H3" s="537"/>
      <c r="I3" s="544" t="s">
        <v>44</v>
      </c>
      <c r="J3" s="545"/>
      <c r="K3" s="546"/>
      <c r="M3" s="268" t="s">
        <v>170</v>
      </c>
      <c r="N3" s="226"/>
      <c r="O3" s="145"/>
      <c r="P3" s="145"/>
      <c r="Q3" s="145"/>
      <c r="R3" s="145"/>
      <c r="S3" s="145"/>
      <c r="T3" s="145"/>
      <c r="U3" s="93"/>
    </row>
    <row r="4" spans="1:21" ht="15" customHeight="1" thickBot="1" x14ac:dyDescent="0.25">
      <c r="A4" s="641" t="s">
        <v>130</v>
      </c>
      <c r="B4" s="642"/>
      <c r="C4" s="18"/>
      <c r="D4" s="18"/>
      <c r="E4" s="18"/>
      <c r="F4" s="18"/>
      <c r="G4" s="18"/>
      <c r="H4" s="18"/>
      <c r="I4" s="547" t="s">
        <v>362</v>
      </c>
      <c r="J4" s="548"/>
      <c r="K4" s="549"/>
      <c r="M4" s="268" t="s">
        <v>171</v>
      </c>
      <c r="N4" s="145"/>
      <c r="O4" s="145"/>
      <c r="P4" s="145"/>
      <c r="Q4" s="145"/>
      <c r="R4" s="145"/>
      <c r="S4" s="145"/>
      <c r="T4" s="145"/>
      <c r="U4" s="93"/>
    </row>
    <row r="5" spans="1:21" ht="14.25" customHeight="1" thickBot="1" x14ac:dyDescent="0.3">
      <c r="A5" s="599" t="s">
        <v>361</v>
      </c>
      <c r="B5" s="600"/>
      <c r="C5" s="166" t="str">
        <f>IF(C4="","",HLOOKUP(C4,'1. Erosion Haz + Basins'!$B$13:$G$14,2,FALSE))</f>
        <v/>
      </c>
      <c r="D5" s="167" t="str">
        <f>IF(D4="","",HLOOKUP(D4,'1. Erosion Haz + Basins'!$B$13:$G$14,2,FALSE))</f>
        <v/>
      </c>
      <c r="E5" s="167" t="str">
        <f>IF(E4="","",HLOOKUP(E4,'1. Erosion Haz + Basins'!$B$13:$G$14,2,FALSE))</f>
        <v/>
      </c>
      <c r="F5" s="167" t="str">
        <f>IF(F4="","",HLOOKUP(F4,'1. Erosion Haz + Basins'!$B$13:$G$14,2,FALSE))</f>
        <v/>
      </c>
      <c r="G5" s="167" t="str">
        <f>IF(G4="","",HLOOKUP(G4,'1. Erosion Haz + Basins'!$B$13:$G$14,2,FALSE))</f>
        <v/>
      </c>
      <c r="H5" s="167" t="str">
        <f>IF(H4="","",HLOOKUP(H4,'1. Erosion Haz + Basins'!$B$13:$G$14,2,FALSE))</f>
        <v/>
      </c>
      <c r="I5" s="589" t="s">
        <v>358</v>
      </c>
      <c r="J5" s="590"/>
      <c r="K5" s="591"/>
      <c r="M5" s="268" t="s">
        <v>172</v>
      </c>
      <c r="N5" s="226"/>
      <c r="O5" s="145"/>
      <c r="P5" s="145"/>
      <c r="Q5" s="145"/>
      <c r="R5" s="145"/>
      <c r="S5" s="145"/>
      <c r="T5" s="145"/>
      <c r="U5" s="93"/>
    </row>
    <row r="6" spans="1:21" ht="13.5" thickBot="1" x14ac:dyDescent="0.25">
      <c r="A6" s="628" t="s">
        <v>199</v>
      </c>
      <c r="B6" s="629"/>
      <c r="C6" s="544"/>
      <c r="D6" s="545"/>
      <c r="E6" s="545"/>
      <c r="F6" s="545"/>
      <c r="G6" s="545"/>
      <c r="H6" s="545"/>
      <c r="I6" s="545"/>
      <c r="J6" s="545"/>
      <c r="K6" s="546"/>
      <c r="M6" s="267" t="s">
        <v>173</v>
      </c>
      <c r="N6" s="226"/>
      <c r="O6" s="145"/>
      <c r="P6" s="145"/>
      <c r="Q6" s="145"/>
      <c r="R6" s="145"/>
      <c r="S6" s="145"/>
      <c r="T6" s="145"/>
      <c r="U6" s="93"/>
    </row>
    <row r="7" spans="1:21" ht="14.25" customHeight="1" x14ac:dyDescent="0.25">
      <c r="A7" s="514" t="s">
        <v>46</v>
      </c>
      <c r="B7" s="515"/>
      <c r="C7" s="126"/>
      <c r="D7" s="378"/>
      <c r="E7" s="378"/>
      <c r="F7" s="378"/>
      <c r="G7" s="378"/>
      <c r="H7" s="378"/>
      <c r="I7" s="638" t="s">
        <v>352</v>
      </c>
      <c r="J7" s="639"/>
      <c r="K7" s="640"/>
      <c r="M7" s="145"/>
      <c r="N7" s="226"/>
      <c r="O7" s="145"/>
      <c r="P7" s="145"/>
      <c r="Q7" s="145"/>
      <c r="R7" s="145"/>
      <c r="S7" s="145"/>
      <c r="T7" s="145"/>
      <c r="U7" s="93"/>
    </row>
    <row r="8" spans="1:21" ht="27.95" customHeight="1" x14ac:dyDescent="0.25">
      <c r="A8" s="504" t="s">
        <v>174</v>
      </c>
      <c r="B8" s="505"/>
      <c r="C8" s="119"/>
      <c r="D8" s="118"/>
      <c r="E8" s="118"/>
      <c r="F8" s="118"/>
      <c r="G8" s="118"/>
      <c r="H8" s="118"/>
      <c r="I8" s="625" t="s">
        <v>353</v>
      </c>
      <c r="J8" s="626"/>
      <c r="K8" s="627"/>
      <c r="M8" s="229" t="s">
        <v>175</v>
      </c>
      <c r="N8" s="224"/>
      <c r="O8" s="224"/>
      <c r="P8" s="224"/>
      <c r="Q8" s="145"/>
      <c r="R8" s="145"/>
      <c r="S8" s="145"/>
      <c r="T8" s="145"/>
      <c r="U8" s="93"/>
    </row>
    <row r="9" spans="1:21" ht="13.5" customHeight="1" x14ac:dyDescent="0.25">
      <c r="A9" s="504" t="s">
        <v>25</v>
      </c>
      <c r="B9" s="505"/>
      <c r="C9" s="208" t="str">
        <f t="shared" ref="C9:H9" si="0">IF(C8="","",VLOOKUP(C8,$M$10:$P$14,2,FALSE))</f>
        <v/>
      </c>
      <c r="D9" s="209" t="str">
        <f t="shared" si="0"/>
        <v/>
      </c>
      <c r="E9" s="209" t="str">
        <f t="shared" si="0"/>
        <v/>
      </c>
      <c r="F9" s="209" t="str">
        <f t="shared" si="0"/>
        <v/>
      </c>
      <c r="G9" s="209" t="str">
        <f t="shared" si="0"/>
        <v/>
      </c>
      <c r="H9" s="209" t="str">
        <f t="shared" si="0"/>
        <v/>
      </c>
      <c r="I9" s="625" t="s">
        <v>353</v>
      </c>
      <c r="J9" s="626"/>
      <c r="K9" s="627"/>
      <c r="M9" s="145"/>
      <c r="N9" s="265" t="s">
        <v>180</v>
      </c>
      <c r="O9" s="265" t="s">
        <v>181</v>
      </c>
      <c r="P9" s="265" t="s">
        <v>182</v>
      </c>
      <c r="Q9" s="145"/>
      <c r="R9" s="145"/>
      <c r="S9" s="145"/>
      <c r="T9" s="145"/>
      <c r="U9" s="93"/>
    </row>
    <row r="10" spans="1:21" ht="13.5" customHeight="1" x14ac:dyDescent="0.25">
      <c r="A10" s="504" t="s">
        <v>184</v>
      </c>
      <c r="B10" s="505"/>
      <c r="C10" s="180" t="str">
        <f t="shared" ref="C10:H10" si="1">IF(C8="","",VLOOKUP(C8,$M$10:$P$14,3,FALSE))</f>
        <v/>
      </c>
      <c r="D10" s="150" t="str">
        <f t="shared" si="1"/>
        <v/>
      </c>
      <c r="E10" s="150" t="str">
        <f t="shared" si="1"/>
        <v/>
      </c>
      <c r="F10" s="150" t="str">
        <f t="shared" si="1"/>
        <v/>
      </c>
      <c r="G10" s="150" t="str">
        <f t="shared" si="1"/>
        <v/>
      </c>
      <c r="H10" s="150" t="str">
        <f t="shared" si="1"/>
        <v/>
      </c>
      <c r="I10" s="625" t="s">
        <v>353</v>
      </c>
      <c r="J10" s="626"/>
      <c r="K10" s="627"/>
      <c r="M10" s="229" t="s">
        <v>176</v>
      </c>
      <c r="N10" s="234">
        <v>0.75</v>
      </c>
      <c r="O10" s="146">
        <v>12.9</v>
      </c>
      <c r="P10" s="146">
        <v>9.9</v>
      </c>
      <c r="Q10" s="226"/>
      <c r="R10" s="145"/>
      <c r="S10" s="145"/>
      <c r="T10" s="145"/>
      <c r="U10" s="93"/>
    </row>
    <row r="11" spans="1:21" ht="13.5" customHeight="1" x14ac:dyDescent="0.25">
      <c r="A11" s="504" t="s">
        <v>185</v>
      </c>
      <c r="B11" s="505"/>
      <c r="C11" s="180" t="str">
        <f t="shared" ref="C11:H11" si="2">IF(C8="","",VLOOKUP(C8,$M$10:$P$14,4,FALSE))</f>
        <v/>
      </c>
      <c r="D11" s="150" t="str">
        <f t="shared" si="2"/>
        <v/>
      </c>
      <c r="E11" s="150" t="str">
        <f t="shared" si="2"/>
        <v/>
      </c>
      <c r="F11" s="150" t="str">
        <f t="shared" si="2"/>
        <v/>
      </c>
      <c r="G11" s="150" t="str">
        <f t="shared" si="2"/>
        <v/>
      </c>
      <c r="H11" s="150" t="str">
        <f t="shared" si="2"/>
        <v/>
      </c>
      <c r="I11" s="625" t="s">
        <v>353</v>
      </c>
      <c r="J11" s="626"/>
      <c r="K11" s="627"/>
      <c r="M11" s="226" t="s">
        <v>177</v>
      </c>
      <c r="N11" s="266">
        <v>0.8</v>
      </c>
      <c r="O11" s="146">
        <v>17</v>
      </c>
      <c r="P11" s="146">
        <v>11.2</v>
      </c>
      <c r="Q11" s="226"/>
      <c r="R11" s="145"/>
      <c r="S11" s="145"/>
      <c r="T11" s="145"/>
      <c r="U11" s="93"/>
    </row>
    <row r="12" spans="1:21" ht="15" customHeight="1" x14ac:dyDescent="0.2">
      <c r="A12" s="529" t="s">
        <v>354</v>
      </c>
      <c r="B12" s="522"/>
      <c r="C12" s="119"/>
      <c r="D12" s="118"/>
      <c r="E12" s="118"/>
      <c r="F12" s="118"/>
      <c r="G12" s="118"/>
      <c r="H12" s="118"/>
      <c r="I12" s="604" t="s">
        <v>356</v>
      </c>
      <c r="J12" s="565"/>
      <c r="K12" s="566"/>
      <c r="M12" s="230" t="s">
        <v>183</v>
      </c>
      <c r="N12" s="266">
        <v>0.85</v>
      </c>
      <c r="O12" s="146">
        <v>23.2</v>
      </c>
      <c r="P12" s="146">
        <v>12.6</v>
      </c>
      <c r="Q12" s="226"/>
      <c r="R12" s="145"/>
      <c r="S12" s="145"/>
      <c r="T12" s="145"/>
      <c r="U12" s="93"/>
    </row>
    <row r="13" spans="1:21" ht="13.5" x14ac:dyDescent="0.25">
      <c r="A13" s="504" t="s">
        <v>186</v>
      </c>
      <c r="B13" s="505"/>
      <c r="C13" s="119"/>
      <c r="D13" s="118"/>
      <c r="E13" s="118"/>
      <c r="F13" s="118"/>
      <c r="G13" s="118"/>
      <c r="H13" s="118"/>
      <c r="I13" s="605"/>
      <c r="J13" s="567"/>
      <c r="K13" s="568"/>
      <c r="M13" s="229" t="s">
        <v>178</v>
      </c>
      <c r="N13" s="266">
        <v>0.9</v>
      </c>
      <c r="O13" s="146">
        <v>33.5</v>
      </c>
      <c r="P13" s="146">
        <v>14.2</v>
      </c>
      <c r="Q13" s="226"/>
      <c r="R13" s="145"/>
      <c r="S13" s="145"/>
      <c r="T13" s="145"/>
      <c r="U13" s="93"/>
    </row>
    <row r="14" spans="1:21" ht="13.5" x14ac:dyDescent="0.25">
      <c r="A14" s="504" t="s">
        <v>257</v>
      </c>
      <c r="B14" s="505"/>
      <c r="C14" s="180" t="str">
        <f t="shared" ref="C14:H14" si="3">IF(C13="","",(C10*C13)+C11)</f>
        <v/>
      </c>
      <c r="D14" s="150" t="str">
        <f t="shared" si="3"/>
        <v/>
      </c>
      <c r="E14" s="150" t="str">
        <f t="shared" si="3"/>
        <v/>
      </c>
      <c r="F14" s="150" t="str">
        <f t="shared" si="3"/>
        <v/>
      </c>
      <c r="G14" s="150" t="str">
        <f t="shared" si="3"/>
        <v/>
      </c>
      <c r="H14" s="150" t="str">
        <f t="shared" si="3"/>
        <v/>
      </c>
      <c r="I14" s="625" t="s">
        <v>355</v>
      </c>
      <c r="J14" s="626"/>
      <c r="K14" s="627"/>
      <c r="M14" s="230" t="s">
        <v>179</v>
      </c>
      <c r="N14" s="266">
        <v>0.95</v>
      </c>
      <c r="O14" s="146">
        <v>56.7</v>
      </c>
      <c r="P14" s="146">
        <v>14.6</v>
      </c>
      <c r="Q14" s="226"/>
      <c r="R14" s="145"/>
      <c r="S14" s="145"/>
      <c r="T14" s="145"/>
      <c r="U14" s="93"/>
    </row>
    <row r="15" spans="1:21" ht="14.25" thickBot="1" x14ac:dyDescent="0.3">
      <c r="A15" s="584" t="s">
        <v>187</v>
      </c>
      <c r="B15" s="564"/>
      <c r="C15" s="379" t="str">
        <f t="shared" ref="C15:H15" si="4">IF(C14="",IF(C12="","",C12),C14)</f>
        <v/>
      </c>
      <c r="D15" s="179" t="str">
        <f t="shared" si="4"/>
        <v/>
      </c>
      <c r="E15" s="179" t="str">
        <f t="shared" si="4"/>
        <v/>
      </c>
      <c r="F15" s="179" t="str">
        <f t="shared" si="4"/>
        <v/>
      </c>
      <c r="G15" s="179" t="str">
        <f t="shared" si="4"/>
        <v/>
      </c>
      <c r="H15" s="179" t="str">
        <f t="shared" si="4"/>
        <v/>
      </c>
      <c r="I15" s="635" t="s">
        <v>200</v>
      </c>
      <c r="J15" s="636"/>
      <c r="K15" s="637"/>
      <c r="M15" s="145"/>
      <c r="N15" s="145"/>
      <c r="O15" s="145"/>
      <c r="P15" s="145"/>
      <c r="Q15" s="226"/>
      <c r="R15" s="145"/>
      <c r="S15" s="145"/>
      <c r="T15" s="145"/>
      <c r="U15" s="93"/>
    </row>
    <row r="16" spans="1:21" ht="13.5" thickBot="1" x14ac:dyDescent="0.25">
      <c r="A16" s="470" t="s">
        <v>201</v>
      </c>
      <c r="B16" s="632"/>
      <c r="C16" s="632"/>
      <c r="D16" s="632"/>
      <c r="E16" s="632"/>
      <c r="F16" s="632"/>
      <c r="G16" s="632"/>
      <c r="H16" s="632"/>
      <c r="I16" s="632"/>
      <c r="J16" s="632"/>
      <c r="K16" s="541"/>
      <c r="M16" s="145" t="s">
        <v>195</v>
      </c>
      <c r="N16" s="233"/>
      <c r="O16" s="233"/>
      <c r="P16" s="233"/>
      <c r="Q16" s="233"/>
      <c r="R16" s="145"/>
      <c r="S16" s="233"/>
      <c r="T16" s="145"/>
      <c r="U16" s="93"/>
    </row>
    <row r="17" spans="1:27" ht="71.25" customHeight="1" x14ac:dyDescent="0.2">
      <c r="A17" s="633" t="s">
        <v>188</v>
      </c>
      <c r="B17" s="634"/>
      <c r="C17" s="447"/>
      <c r="D17" s="380"/>
      <c r="E17" s="380"/>
      <c r="F17" s="380"/>
      <c r="G17" s="380"/>
      <c r="H17" s="448"/>
      <c r="I17" s="630" t="s">
        <v>357</v>
      </c>
      <c r="J17" s="630"/>
      <c r="K17" s="631"/>
      <c r="M17" s="252"/>
      <c r="N17" s="245" t="s">
        <v>189</v>
      </c>
      <c r="O17" s="245" t="s">
        <v>190</v>
      </c>
      <c r="P17" s="245" t="s">
        <v>191</v>
      </c>
      <c r="Q17" s="245" t="s">
        <v>192</v>
      </c>
      <c r="R17" s="270" t="s">
        <v>193</v>
      </c>
      <c r="S17" s="271" t="s">
        <v>194</v>
      </c>
      <c r="T17" s="145"/>
      <c r="U17" s="437"/>
      <c r="V17" s="438"/>
      <c r="W17" s="438"/>
      <c r="X17" s="438"/>
      <c r="Y17" s="438"/>
      <c r="Z17" s="439"/>
      <c r="AA17" s="440"/>
    </row>
    <row r="18" spans="1:27" ht="14.25" thickBot="1" x14ac:dyDescent="0.3">
      <c r="A18" s="584" t="s">
        <v>196</v>
      </c>
      <c r="B18" s="564"/>
      <c r="C18" s="446" t="str">
        <f>IF(C17="","",VLOOKUP(CEILING(C15,5),$M$18:$S$36,VLOOKUP(C17,$M$38:$N$43,2,FALSE)))</f>
        <v/>
      </c>
      <c r="D18" s="170" t="str">
        <f t="shared" ref="D18:H18" si="5">IF(D17="","",VLOOKUP(CEILING(D15,5),$M$18:$S$36,VLOOKUP(D17,$M$38:$N$43,2,FALSE)))</f>
        <v/>
      </c>
      <c r="E18" s="170" t="str">
        <f t="shared" si="5"/>
        <v/>
      </c>
      <c r="F18" s="170" t="str">
        <f t="shared" si="5"/>
        <v/>
      </c>
      <c r="G18" s="170" t="str">
        <f t="shared" si="5"/>
        <v/>
      </c>
      <c r="H18" s="413" t="str">
        <f t="shared" si="5"/>
        <v/>
      </c>
      <c r="I18" s="649" t="s">
        <v>308</v>
      </c>
      <c r="J18" s="649"/>
      <c r="K18" s="650"/>
      <c r="M18" s="239">
        <v>10</v>
      </c>
      <c r="N18" s="146">
        <v>0.02</v>
      </c>
      <c r="O18" s="146">
        <v>0.1</v>
      </c>
      <c r="P18" s="146">
        <v>0.09</v>
      </c>
      <c r="Q18" s="146">
        <v>0.2</v>
      </c>
      <c r="R18" s="146">
        <v>1</v>
      </c>
      <c r="S18" s="272">
        <v>0.21000000000000002</v>
      </c>
      <c r="T18" s="145"/>
      <c r="U18" s="435"/>
      <c r="V18" s="436"/>
      <c r="W18" s="436"/>
      <c r="X18" s="436"/>
      <c r="Y18" s="436"/>
      <c r="Z18" s="436"/>
      <c r="AA18" s="441"/>
    </row>
    <row r="19" spans="1:27" ht="18" customHeight="1" thickBot="1" x14ac:dyDescent="0.25">
      <c r="A19" s="509" t="s">
        <v>202</v>
      </c>
      <c r="B19" s="518"/>
      <c r="C19" s="210"/>
      <c r="D19" s="114"/>
      <c r="E19" s="114"/>
      <c r="F19" s="114"/>
      <c r="G19" s="114"/>
      <c r="H19" s="114"/>
      <c r="I19" s="643"/>
      <c r="J19" s="643"/>
      <c r="K19" s="644"/>
      <c r="M19" s="239">
        <v>15</v>
      </c>
      <c r="N19" s="146">
        <v>0.02</v>
      </c>
      <c r="O19" s="146">
        <v>0.12000000000000001</v>
      </c>
      <c r="P19" s="146">
        <v>0.18</v>
      </c>
      <c r="Q19" s="146">
        <v>0.315</v>
      </c>
      <c r="R19" s="146">
        <v>1</v>
      </c>
      <c r="S19" s="273">
        <v>0.33074999999999999</v>
      </c>
      <c r="T19" s="145"/>
      <c r="U19" s="436"/>
      <c r="V19" s="445"/>
      <c r="W19" s="445"/>
      <c r="X19" s="445"/>
      <c r="Y19" s="445"/>
      <c r="Z19" s="445"/>
      <c r="AA19" s="445"/>
    </row>
    <row r="20" spans="1:27" ht="16.5" customHeight="1" thickBot="1" x14ac:dyDescent="0.3">
      <c r="A20" s="599" t="s">
        <v>297</v>
      </c>
      <c r="B20" s="646"/>
      <c r="C20" s="182" t="str">
        <f t="shared" ref="C20:H20" si="6">IF(C18="","",10*C15*C18*C5)</f>
        <v/>
      </c>
      <c r="D20" s="183" t="str">
        <f t="shared" si="6"/>
        <v/>
      </c>
      <c r="E20" s="183" t="str">
        <f t="shared" si="6"/>
        <v/>
      </c>
      <c r="F20" s="183" t="str">
        <f t="shared" si="6"/>
        <v/>
      </c>
      <c r="G20" s="183" t="str">
        <f t="shared" si="6"/>
        <v/>
      </c>
      <c r="H20" s="183" t="str">
        <f t="shared" si="6"/>
        <v/>
      </c>
      <c r="I20" s="638" t="s">
        <v>309</v>
      </c>
      <c r="J20" s="639"/>
      <c r="K20" s="640"/>
      <c r="M20" s="239">
        <v>20</v>
      </c>
      <c r="N20" s="146">
        <v>0.02</v>
      </c>
      <c r="O20" s="146">
        <v>0.14000000000000001</v>
      </c>
      <c r="P20" s="146">
        <v>0.27</v>
      </c>
      <c r="Q20" s="146">
        <v>0.43</v>
      </c>
      <c r="R20" s="146">
        <v>1</v>
      </c>
      <c r="S20" s="273">
        <v>0.45150000000000001</v>
      </c>
      <c r="T20" s="145"/>
      <c r="U20" s="435"/>
      <c r="V20" s="436"/>
      <c r="W20" s="436"/>
      <c r="X20" s="436"/>
      <c r="Y20" s="436"/>
      <c r="Z20" s="436"/>
      <c r="AA20" s="442"/>
    </row>
    <row r="21" spans="1:27" ht="13.5" thickBot="1" x14ac:dyDescent="0.25">
      <c r="A21" s="536" t="s">
        <v>163</v>
      </c>
      <c r="B21" s="538"/>
      <c r="C21" s="645"/>
      <c r="D21" s="643"/>
      <c r="E21" s="643"/>
      <c r="F21" s="643"/>
      <c r="G21" s="643"/>
      <c r="H21" s="643"/>
      <c r="I21" s="643"/>
      <c r="J21" s="643"/>
      <c r="K21" s="644"/>
      <c r="M21" s="239">
        <v>25</v>
      </c>
      <c r="N21" s="146">
        <v>0.05</v>
      </c>
      <c r="O21" s="146">
        <v>0.19</v>
      </c>
      <c r="P21" s="146">
        <v>0.34499999999999997</v>
      </c>
      <c r="Q21" s="146">
        <v>0.495</v>
      </c>
      <c r="R21" s="146">
        <v>1</v>
      </c>
      <c r="S21" s="273">
        <v>0.51975000000000005</v>
      </c>
      <c r="T21" s="145"/>
      <c r="U21" s="436"/>
      <c r="V21" s="445"/>
      <c r="W21" s="445"/>
      <c r="X21" s="445"/>
      <c r="Y21" s="445"/>
      <c r="Z21" s="445"/>
      <c r="AA21" s="445"/>
    </row>
    <row r="22" spans="1:27" ht="13.5" x14ac:dyDescent="0.25">
      <c r="A22" s="514" t="s">
        <v>32</v>
      </c>
      <c r="B22" s="515"/>
      <c r="C22" s="333" t="str">
        <f t="shared" ref="C22:H22" si="7">IF(C4="","",HLOOKUP(C4,$N$45:$S$47,2,FALSE))</f>
        <v/>
      </c>
      <c r="D22" s="163" t="str">
        <f t="shared" si="7"/>
        <v/>
      </c>
      <c r="E22" s="163" t="str">
        <f t="shared" si="7"/>
        <v/>
      </c>
      <c r="F22" s="163" t="str">
        <f t="shared" si="7"/>
        <v/>
      </c>
      <c r="G22" s="163" t="str">
        <f t="shared" si="7"/>
        <v/>
      </c>
      <c r="H22" s="363" t="str">
        <f t="shared" si="7"/>
        <v/>
      </c>
      <c r="I22" s="523" t="s">
        <v>198</v>
      </c>
      <c r="J22" s="523"/>
      <c r="K22" s="515"/>
      <c r="M22" s="239">
        <v>30</v>
      </c>
      <c r="N22" s="146">
        <v>0.08</v>
      </c>
      <c r="O22" s="146">
        <v>0.24</v>
      </c>
      <c r="P22" s="146">
        <v>0.42</v>
      </c>
      <c r="Q22" s="146">
        <v>0.56000000000000005</v>
      </c>
      <c r="R22" s="146">
        <v>1</v>
      </c>
      <c r="S22" s="273">
        <v>0.58800000000000008</v>
      </c>
      <c r="T22" s="145"/>
      <c r="U22" s="435"/>
      <c r="V22" s="436"/>
      <c r="W22" s="436"/>
      <c r="X22" s="436"/>
      <c r="Y22" s="436"/>
      <c r="Z22" s="436"/>
      <c r="AA22" s="442"/>
    </row>
    <row r="23" spans="1:27" ht="13.5" customHeight="1" x14ac:dyDescent="0.25">
      <c r="A23" s="504" t="s">
        <v>291</v>
      </c>
      <c r="B23" s="505"/>
      <c r="C23" s="288"/>
      <c r="D23" s="75"/>
      <c r="E23" s="75"/>
      <c r="F23" s="75"/>
      <c r="G23" s="75"/>
      <c r="H23" s="202"/>
      <c r="I23" s="511" t="s">
        <v>168</v>
      </c>
      <c r="J23" s="511"/>
      <c r="K23" s="505"/>
      <c r="M23" s="239">
        <v>35</v>
      </c>
      <c r="N23" s="146">
        <v>0.12</v>
      </c>
      <c r="O23" s="146">
        <v>0.29000000000000004</v>
      </c>
      <c r="P23" s="146">
        <v>0.47</v>
      </c>
      <c r="Q23" s="146">
        <v>0.59499999999999997</v>
      </c>
      <c r="R23" s="146">
        <v>1</v>
      </c>
      <c r="S23" s="273">
        <v>0.62475000000000014</v>
      </c>
      <c r="T23" s="145"/>
      <c r="U23" s="436"/>
      <c r="V23" s="445"/>
      <c r="W23" s="445"/>
      <c r="X23" s="445"/>
      <c r="Y23" s="445"/>
      <c r="Z23" s="445"/>
      <c r="AA23" s="445"/>
    </row>
    <row r="24" spans="1:27" ht="13.5" customHeight="1" x14ac:dyDescent="0.25">
      <c r="A24" s="504" t="s">
        <v>167</v>
      </c>
      <c r="B24" s="505"/>
      <c r="C24" s="258" t="str">
        <f t="shared" ref="C24:H24" si="8">IF(C22="","",C22/C23)</f>
        <v/>
      </c>
      <c r="D24" s="157" t="str">
        <f t="shared" si="8"/>
        <v/>
      </c>
      <c r="E24" s="157" t="str">
        <f t="shared" si="8"/>
        <v/>
      </c>
      <c r="F24" s="157" t="str">
        <f t="shared" si="8"/>
        <v/>
      </c>
      <c r="G24" s="157" t="str">
        <f t="shared" si="8"/>
        <v/>
      </c>
      <c r="H24" s="259" t="str">
        <f t="shared" si="8"/>
        <v/>
      </c>
      <c r="I24" s="511" t="s">
        <v>197</v>
      </c>
      <c r="J24" s="511"/>
      <c r="K24" s="505"/>
      <c r="M24" s="239">
        <v>40</v>
      </c>
      <c r="N24" s="146">
        <v>0.16</v>
      </c>
      <c r="O24" s="146">
        <v>0.34</v>
      </c>
      <c r="P24" s="146">
        <v>0.52</v>
      </c>
      <c r="Q24" s="146">
        <v>0.63</v>
      </c>
      <c r="R24" s="146">
        <v>1</v>
      </c>
      <c r="S24" s="273">
        <v>0.66150000000000009</v>
      </c>
      <c r="T24" s="145"/>
      <c r="U24" s="435"/>
      <c r="V24" s="436"/>
      <c r="W24" s="436"/>
      <c r="X24" s="436"/>
      <c r="Y24" s="436"/>
      <c r="Z24" s="436"/>
      <c r="AA24" s="442"/>
    </row>
    <row r="25" spans="1:27" ht="14.25" customHeight="1" x14ac:dyDescent="0.25">
      <c r="A25" s="504" t="s">
        <v>161</v>
      </c>
      <c r="B25" s="505"/>
      <c r="C25" s="341"/>
      <c r="D25" s="188"/>
      <c r="E25" s="188"/>
      <c r="F25" s="188"/>
      <c r="G25" s="188"/>
      <c r="H25" s="364"/>
      <c r="I25" s="524" t="s">
        <v>305</v>
      </c>
      <c r="J25" s="524"/>
      <c r="K25" s="525"/>
      <c r="M25" s="239">
        <v>45</v>
      </c>
      <c r="N25" s="146">
        <v>0.19</v>
      </c>
      <c r="O25" s="146">
        <v>0.38</v>
      </c>
      <c r="P25" s="146">
        <v>0.55000000000000004</v>
      </c>
      <c r="Q25" s="146">
        <v>0.65999999999999992</v>
      </c>
      <c r="R25" s="146">
        <v>1</v>
      </c>
      <c r="S25" s="273">
        <v>0.69300000000000006</v>
      </c>
      <c r="T25" s="145"/>
      <c r="U25" s="436"/>
      <c r="V25" s="445"/>
      <c r="W25" s="445"/>
      <c r="X25" s="445"/>
      <c r="Y25" s="445"/>
      <c r="Z25" s="445"/>
      <c r="AA25" s="445"/>
    </row>
    <row r="26" spans="1:27" ht="13.5" x14ac:dyDescent="0.25">
      <c r="A26" s="504" t="s">
        <v>162</v>
      </c>
      <c r="B26" s="505"/>
      <c r="C26" s="119"/>
      <c r="D26" s="118"/>
      <c r="E26" s="118"/>
      <c r="F26" s="118"/>
      <c r="G26" s="118"/>
      <c r="H26" s="120"/>
      <c r="I26" s="524"/>
      <c r="J26" s="524"/>
      <c r="K26" s="525"/>
      <c r="M26" s="239">
        <v>50</v>
      </c>
      <c r="N26" s="146">
        <v>0.22</v>
      </c>
      <c r="O26" s="146">
        <v>0.42</v>
      </c>
      <c r="P26" s="146">
        <v>0.57999999999999996</v>
      </c>
      <c r="Q26" s="146">
        <v>0.69</v>
      </c>
      <c r="R26" s="146">
        <v>1</v>
      </c>
      <c r="S26" s="272">
        <v>0.72449999999999992</v>
      </c>
      <c r="T26" s="145"/>
      <c r="U26" s="435"/>
      <c r="V26" s="436"/>
      <c r="W26" s="436"/>
      <c r="X26" s="436"/>
      <c r="Y26" s="436"/>
      <c r="Z26" s="436"/>
      <c r="AA26" s="442"/>
    </row>
    <row r="27" spans="1:27" ht="14.25" thickBot="1" x14ac:dyDescent="0.3">
      <c r="A27" s="504" t="s">
        <v>294</v>
      </c>
      <c r="B27" s="505"/>
      <c r="C27" s="243" t="str">
        <f t="shared" ref="C27:H27" si="9">IF(C4="","",IF(C25="x",ROUND(0.5*C20,0),IF(C24&lt;0.5,0,ROUND(C24/12*C26*(HLOOKUP(C4,$N$45:$S$47,3,FALSE)),0))))</f>
        <v/>
      </c>
      <c r="D27" s="174" t="str">
        <f t="shared" si="9"/>
        <v/>
      </c>
      <c r="E27" s="174" t="str">
        <f t="shared" si="9"/>
        <v/>
      </c>
      <c r="F27" s="174" t="str">
        <f t="shared" si="9"/>
        <v/>
      </c>
      <c r="G27" s="174" t="str">
        <f t="shared" si="9"/>
        <v/>
      </c>
      <c r="H27" s="242" t="str">
        <f t="shared" si="9"/>
        <v/>
      </c>
      <c r="I27" s="519" t="s">
        <v>390</v>
      </c>
      <c r="J27" s="519"/>
      <c r="K27" s="520"/>
      <c r="L27" s="96"/>
      <c r="M27" s="250">
        <v>55</v>
      </c>
      <c r="N27" s="235">
        <v>0.25</v>
      </c>
      <c r="O27" s="235">
        <v>0.44999999999999996</v>
      </c>
      <c r="P27" s="235">
        <v>0.60499999999999998</v>
      </c>
      <c r="Q27" s="235">
        <v>0.71499999999999997</v>
      </c>
      <c r="R27" s="235">
        <v>1</v>
      </c>
      <c r="S27" s="235">
        <v>0.75075000000000003</v>
      </c>
      <c r="T27" s="145"/>
      <c r="U27" s="436"/>
      <c r="V27" s="445"/>
      <c r="W27" s="445"/>
      <c r="X27" s="445"/>
      <c r="Y27" s="445"/>
      <c r="Z27" s="445"/>
      <c r="AA27" s="445"/>
    </row>
    <row r="28" spans="1:27" ht="13.5" thickBot="1" x14ac:dyDescent="0.25">
      <c r="A28" s="509" t="s">
        <v>258</v>
      </c>
      <c r="B28" s="510"/>
      <c r="C28" s="510"/>
      <c r="D28" s="510"/>
      <c r="E28" s="510"/>
      <c r="F28" s="510"/>
      <c r="G28" s="510"/>
      <c r="H28" s="510"/>
      <c r="I28" s="510"/>
      <c r="J28" s="510"/>
      <c r="K28" s="518"/>
      <c r="M28" s="146">
        <v>60</v>
      </c>
      <c r="N28" s="146">
        <v>0.28000000000000003</v>
      </c>
      <c r="O28" s="146">
        <v>0.48</v>
      </c>
      <c r="P28" s="146">
        <v>0.63</v>
      </c>
      <c r="Q28" s="146">
        <v>0.74</v>
      </c>
      <c r="R28" s="146">
        <v>1</v>
      </c>
      <c r="S28" s="146">
        <v>0.77700000000000002</v>
      </c>
      <c r="T28" s="145"/>
      <c r="U28" s="435"/>
      <c r="V28" s="436"/>
      <c r="W28" s="436"/>
      <c r="X28" s="436"/>
      <c r="Y28" s="436"/>
      <c r="Z28" s="436"/>
      <c r="AA28" s="442"/>
    </row>
    <row r="29" spans="1:27" ht="15" customHeight="1" thickBot="1" x14ac:dyDescent="0.25">
      <c r="A29" s="614" t="s">
        <v>130</v>
      </c>
      <c r="B29" s="615"/>
      <c r="C29" s="165" t="str">
        <f t="shared" ref="C29:H29" si="10">IF(C4="","",C4)</f>
        <v/>
      </c>
      <c r="D29" s="328" t="str">
        <f t="shared" si="10"/>
        <v/>
      </c>
      <c r="E29" s="177" t="str">
        <f t="shared" si="10"/>
        <v/>
      </c>
      <c r="F29" s="177" t="str">
        <f t="shared" si="10"/>
        <v/>
      </c>
      <c r="G29" s="177" t="str">
        <f t="shared" si="10"/>
        <v/>
      </c>
      <c r="H29" s="255" t="str">
        <f t="shared" si="10"/>
        <v/>
      </c>
      <c r="I29" s="643"/>
      <c r="J29" s="643"/>
      <c r="K29" s="644"/>
      <c r="L29" s="95"/>
      <c r="M29" s="146">
        <v>65</v>
      </c>
      <c r="N29" s="146">
        <v>0.30500000000000005</v>
      </c>
      <c r="O29" s="146">
        <v>0.505</v>
      </c>
      <c r="P29" s="146">
        <v>0.65</v>
      </c>
      <c r="Q29" s="146">
        <v>0.755</v>
      </c>
      <c r="R29" s="146">
        <v>1</v>
      </c>
      <c r="S29" s="146">
        <v>0.79275000000000007</v>
      </c>
      <c r="T29" s="145"/>
      <c r="U29" s="436"/>
      <c r="V29" s="445"/>
      <c r="W29" s="445"/>
      <c r="X29" s="445"/>
      <c r="Y29" s="445"/>
      <c r="Z29" s="445"/>
      <c r="AA29" s="445"/>
    </row>
    <row r="30" spans="1:27" ht="13.5" customHeight="1" x14ac:dyDescent="0.25">
      <c r="A30" s="516" t="s">
        <v>290</v>
      </c>
      <c r="B30" s="517"/>
      <c r="C30" s="168" t="str">
        <f t="shared" ref="C30:H30" si="11">IF(C29="","",C20)</f>
        <v/>
      </c>
      <c r="D30" s="163" t="str">
        <f t="shared" si="11"/>
        <v/>
      </c>
      <c r="E30" s="163" t="str">
        <f t="shared" si="11"/>
        <v/>
      </c>
      <c r="F30" s="163" t="str">
        <f t="shared" si="11"/>
        <v/>
      </c>
      <c r="G30" s="163" t="str">
        <f t="shared" si="11"/>
        <v/>
      </c>
      <c r="H30" s="363" t="str">
        <f t="shared" si="11"/>
        <v/>
      </c>
      <c r="I30" s="630" t="s">
        <v>309</v>
      </c>
      <c r="J30" s="630"/>
      <c r="K30" s="631"/>
      <c r="L30" s="95"/>
      <c r="M30" s="146">
        <v>70</v>
      </c>
      <c r="N30" s="146">
        <v>0.33</v>
      </c>
      <c r="O30" s="146">
        <v>0.53</v>
      </c>
      <c r="P30" s="146">
        <v>0.67</v>
      </c>
      <c r="Q30" s="146">
        <v>0.77</v>
      </c>
      <c r="R30" s="146">
        <v>1</v>
      </c>
      <c r="S30" s="146">
        <v>0.80850000000000011</v>
      </c>
      <c r="T30" s="145"/>
      <c r="U30" s="435"/>
      <c r="V30" s="436"/>
      <c r="W30" s="436"/>
      <c r="X30" s="436"/>
      <c r="Y30" s="436"/>
      <c r="Z30" s="436"/>
      <c r="AA30" s="442"/>
    </row>
    <row r="31" spans="1:27" ht="14.25" customHeight="1" x14ac:dyDescent="0.25">
      <c r="A31" s="504" t="s">
        <v>294</v>
      </c>
      <c r="B31" s="505"/>
      <c r="C31" s="156" t="str">
        <f t="shared" ref="C31:H31" si="12">IF(C29="","",C27)</f>
        <v/>
      </c>
      <c r="D31" s="157" t="str">
        <f t="shared" si="12"/>
        <v/>
      </c>
      <c r="E31" s="157" t="str">
        <f t="shared" si="12"/>
        <v/>
      </c>
      <c r="F31" s="157" t="str">
        <f t="shared" si="12"/>
        <v/>
      </c>
      <c r="G31" s="157" t="str">
        <f t="shared" si="12"/>
        <v/>
      </c>
      <c r="H31" s="259" t="str">
        <f t="shared" si="12"/>
        <v/>
      </c>
      <c r="I31" s="647" t="s">
        <v>306</v>
      </c>
      <c r="J31" s="647"/>
      <c r="K31" s="648"/>
      <c r="L31" s="109"/>
      <c r="M31" s="146">
        <v>75</v>
      </c>
      <c r="N31" s="146">
        <v>0.34499999999999997</v>
      </c>
      <c r="O31" s="146">
        <v>0.55000000000000004</v>
      </c>
      <c r="P31" s="146">
        <v>0.68500000000000005</v>
      </c>
      <c r="Q31" s="146">
        <v>0.78</v>
      </c>
      <c r="R31" s="146">
        <v>1</v>
      </c>
      <c r="S31" s="146">
        <v>0.81900000000000017</v>
      </c>
      <c r="T31" s="226"/>
      <c r="U31" s="436"/>
      <c r="V31" s="445"/>
      <c r="W31" s="445"/>
      <c r="X31" s="445"/>
      <c r="Y31" s="445"/>
      <c r="Z31" s="445"/>
      <c r="AA31" s="445"/>
    </row>
    <row r="32" spans="1:27" ht="14.25" customHeight="1" thickBot="1" x14ac:dyDescent="0.3">
      <c r="A32" s="578" t="s">
        <v>298</v>
      </c>
      <c r="B32" s="579"/>
      <c r="C32" s="184" t="str">
        <f t="shared" ref="C32:H32" si="13">IF(C27="","",C30+C31)</f>
        <v/>
      </c>
      <c r="D32" s="185" t="str">
        <f t="shared" si="13"/>
        <v/>
      </c>
      <c r="E32" s="185" t="str">
        <f t="shared" si="13"/>
        <v/>
      </c>
      <c r="F32" s="185" t="str">
        <f t="shared" si="13"/>
        <v/>
      </c>
      <c r="G32" s="185" t="str">
        <f t="shared" si="13"/>
        <v/>
      </c>
      <c r="H32" s="391" t="str">
        <f t="shared" si="13"/>
        <v/>
      </c>
      <c r="I32" s="580"/>
      <c r="J32" s="580"/>
      <c r="K32" s="581"/>
      <c r="L32" s="109"/>
      <c r="M32" s="146">
        <v>80</v>
      </c>
      <c r="N32" s="146">
        <v>0.36</v>
      </c>
      <c r="O32" s="146">
        <v>0.56999999999999995</v>
      </c>
      <c r="P32" s="146">
        <v>0.7</v>
      </c>
      <c r="Q32" s="146">
        <v>0.79</v>
      </c>
      <c r="R32" s="146">
        <v>1</v>
      </c>
      <c r="S32" s="146">
        <v>0.82950000000000013</v>
      </c>
      <c r="T32" s="226"/>
      <c r="U32" s="435"/>
      <c r="V32" s="436"/>
      <c r="W32" s="436"/>
      <c r="X32" s="436"/>
      <c r="Y32" s="436"/>
      <c r="Z32" s="436"/>
      <c r="AA32" s="442"/>
    </row>
    <row r="33" spans="1:27" ht="13.5" x14ac:dyDescent="0.25">
      <c r="A33" s="330"/>
      <c r="B33" s="330"/>
      <c r="C33" s="330"/>
      <c r="D33" s="330"/>
      <c r="E33" s="330"/>
      <c r="F33" s="330"/>
      <c r="G33" s="330"/>
      <c r="H33" s="330"/>
      <c r="K33" s="134" t="str">
        <f>"Version "&amp;Information!B13</f>
        <v>Version 5.9</v>
      </c>
      <c r="L33" s="109"/>
      <c r="M33" s="146">
        <v>85</v>
      </c>
      <c r="N33" s="146">
        <v>0.38500000000000001</v>
      </c>
      <c r="O33" s="146">
        <v>0.58499999999999996</v>
      </c>
      <c r="P33" s="146">
        <v>0.71499999999999997</v>
      </c>
      <c r="Q33" s="146">
        <v>0.8</v>
      </c>
      <c r="R33" s="146">
        <v>1</v>
      </c>
      <c r="S33" s="146">
        <v>0.84000000000000008</v>
      </c>
      <c r="T33" s="226"/>
      <c r="U33" s="436"/>
      <c r="V33" s="445"/>
      <c r="W33" s="445"/>
      <c r="X33" s="445"/>
      <c r="Y33" s="445"/>
      <c r="Z33" s="445"/>
      <c r="AA33" s="445"/>
    </row>
    <row r="34" spans="1:27" ht="14.25" customHeight="1" x14ac:dyDescent="0.2">
      <c r="L34" s="109"/>
      <c r="M34" s="146">
        <v>90</v>
      </c>
      <c r="N34" s="146">
        <v>0.41</v>
      </c>
      <c r="O34" s="146">
        <v>0.6</v>
      </c>
      <c r="P34" s="146">
        <v>0.73</v>
      </c>
      <c r="Q34" s="146">
        <v>0.81</v>
      </c>
      <c r="R34" s="146">
        <v>1</v>
      </c>
      <c r="S34" s="146">
        <v>0.85050000000000014</v>
      </c>
      <c r="T34" s="226"/>
      <c r="U34" s="435"/>
      <c r="V34" s="436"/>
      <c r="W34" s="436"/>
      <c r="X34" s="436"/>
      <c r="Y34" s="436"/>
      <c r="Z34" s="436"/>
      <c r="AA34" s="441"/>
    </row>
    <row r="35" spans="1:27" ht="33.75" customHeight="1" x14ac:dyDescent="0.2">
      <c r="L35" s="110"/>
      <c r="M35" s="146">
        <v>95</v>
      </c>
      <c r="N35" s="146">
        <v>0.43</v>
      </c>
      <c r="O35" s="146">
        <v>0.61499999999999999</v>
      </c>
      <c r="P35" s="146">
        <v>0.74</v>
      </c>
      <c r="Q35" s="146">
        <v>0.82000000000000006</v>
      </c>
      <c r="R35" s="146">
        <v>1</v>
      </c>
      <c r="S35" s="146">
        <v>0.86099999999999999</v>
      </c>
      <c r="T35" s="226"/>
      <c r="U35" s="436"/>
      <c r="V35" s="445"/>
      <c r="W35" s="445"/>
      <c r="X35" s="445"/>
      <c r="Y35" s="445"/>
      <c r="Z35" s="445"/>
      <c r="AA35" s="445"/>
    </row>
    <row r="36" spans="1:27" ht="14.25" customHeight="1" x14ac:dyDescent="0.2">
      <c r="L36" s="110"/>
      <c r="M36" s="146">
        <v>100</v>
      </c>
      <c r="N36" s="146">
        <v>0.45</v>
      </c>
      <c r="O36" s="146">
        <v>0.63</v>
      </c>
      <c r="P36" s="146">
        <v>0.75</v>
      </c>
      <c r="Q36" s="146">
        <v>0.83</v>
      </c>
      <c r="R36" s="146">
        <v>1</v>
      </c>
      <c r="S36" s="146">
        <v>0.87149999999999994</v>
      </c>
      <c r="T36" s="226"/>
      <c r="U36" s="444"/>
      <c r="V36" s="443"/>
      <c r="W36" s="443"/>
      <c r="X36" s="443"/>
      <c r="Y36" s="443"/>
      <c r="Z36" s="443"/>
      <c r="AA36" s="443"/>
    </row>
    <row r="37" spans="1:27" ht="18.75" customHeight="1" x14ac:dyDescent="0.2">
      <c r="L37" s="110"/>
      <c r="M37" s="145"/>
      <c r="N37" s="145"/>
      <c r="O37" s="145"/>
      <c r="P37" s="145"/>
      <c r="Q37" s="145"/>
      <c r="R37" s="145"/>
      <c r="S37" s="145"/>
      <c r="T37" s="226"/>
      <c r="U37" s="93"/>
    </row>
    <row r="38" spans="1:27" ht="14.25" customHeight="1" x14ac:dyDescent="0.2">
      <c r="L38" s="96"/>
      <c r="M38" s="145" t="s">
        <v>189</v>
      </c>
      <c r="N38" s="145">
        <v>2</v>
      </c>
      <c r="O38" s="145"/>
      <c r="P38" s="145"/>
      <c r="Q38" s="145"/>
      <c r="R38" s="145"/>
      <c r="S38" s="145"/>
      <c r="T38" s="145"/>
      <c r="U38" s="93"/>
    </row>
    <row r="39" spans="1:27" ht="14.25" customHeight="1" x14ac:dyDescent="0.2">
      <c r="L39" s="96"/>
      <c r="M39" s="145" t="s">
        <v>190</v>
      </c>
      <c r="N39" s="145">
        <v>3</v>
      </c>
      <c r="O39" s="145"/>
      <c r="P39" s="145"/>
      <c r="Q39" s="145"/>
      <c r="R39" s="145"/>
      <c r="S39" s="145"/>
      <c r="T39" s="226"/>
      <c r="U39" s="93"/>
    </row>
    <row r="40" spans="1:27" ht="14.25" customHeight="1" x14ac:dyDescent="0.2">
      <c r="L40" s="96"/>
      <c r="M40" s="145" t="s">
        <v>191</v>
      </c>
      <c r="N40" s="145">
        <v>4</v>
      </c>
      <c r="O40" s="145"/>
      <c r="P40" s="145"/>
      <c r="Q40" s="145"/>
      <c r="R40" s="145"/>
      <c r="S40" s="145"/>
      <c r="T40" s="145"/>
      <c r="U40" s="93"/>
    </row>
    <row r="41" spans="1:27" x14ac:dyDescent="0.2">
      <c r="M41" s="145" t="s">
        <v>192</v>
      </c>
      <c r="N41" s="145">
        <v>5</v>
      </c>
      <c r="O41" s="145"/>
      <c r="P41" s="145"/>
      <c r="Q41" s="145"/>
      <c r="R41" s="145"/>
      <c r="S41" s="145"/>
      <c r="T41" s="145"/>
      <c r="U41" s="93"/>
    </row>
    <row r="42" spans="1:27" x14ac:dyDescent="0.2">
      <c r="M42" s="145" t="s">
        <v>193</v>
      </c>
      <c r="N42" s="145">
        <v>6</v>
      </c>
      <c r="O42" s="145"/>
      <c r="P42" s="145"/>
      <c r="Q42" s="145"/>
      <c r="R42" s="145"/>
      <c r="S42" s="145"/>
      <c r="T42" s="145"/>
      <c r="U42" s="93"/>
    </row>
    <row r="43" spans="1:27" x14ac:dyDescent="0.2">
      <c r="M43" s="145" t="s">
        <v>194</v>
      </c>
      <c r="N43" s="145">
        <v>7</v>
      </c>
      <c r="O43" s="145"/>
      <c r="P43" s="145"/>
      <c r="Q43" s="145"/>
      <c r="R43" s="145"/>
      <c r="S43" s="145"/>
      <c r="T43" s="145"/>
      <c r="U43" s="93"/>
    </row>
    <row r="44" spans="1:27" x14ac:dyDescent="0.2">
      <c r="M44" s="145"/>
      <c r="N44" s="145"/>
      <c r="O44" s="145"/>
      <c r="P44" s="145"/>
      <c r="Q44" s="145"/>
      <c r="R44" s="145"/>
      <c r="S44" s="145"/>
      <c r="T44" s="145"/>
      <c r="U44" s="93"/>
    </row>
    <row r="45" spans="1:27" x14ac:dyDescent="0.2">
      <c r="M45" s="252" t="s">
        <v>164</v>
      </c>
      <c r="N45" s="234">
        <f>'1. Erosion Haz + Basins'!B13</f>
        <v>0</v>
      </c>
      <c r="O45" s="234">
        <f>'1. Erosion Haz + Basins'!C13</f>
        <v>0</v>
      </c>
      <c r="P45" s="234">
        <f>'1. Erosion Haz + Basins'!D13</f>
        <v>0</v>
      </c>
      <c r="Q45" s="234">
        <f>'1. Erosion Haz + Basins'!E13</f>
        <v>0</v>
      </c>
      <c r="R45" s="234">
        <f>'1. Erosion Haz + Basins'!F13</f>
        <v>0</v>
      </c>
      <c r="S45" s="234">
        <f>'1. Erosion Haz + Basins'!G13</f>
        <v>0</v>
      </c>
      <c r="T45" s="145"/>
      <c r="U45" s="93"/>
    </row>
    <row r="46" spans="1:27" x14ac:dyDescent="0.2">
      <c r="M46" s="239" t="s">
        <v>165</v>
      </c>
      <c r="N46" s="149" t="str">
        <f>'1. Erosion Haz + Basins'!B40</f>
        <v/>
      </c>
      <c r="O46" s="149" t="str">
        <f>'1. Erosion Haz + Basins'!C40</f>
        <v/>
      </c>
      <c r="P46" s="149" t="str">
        <f>'1. Erosion Haz + Basins'!D40</f>
        <v/>
      </c>
      <c r="Q46" s="149" t="str">
        <f>'1. Erosion Haz + Basins'!E40</f>
        <v/>
      </c>
      <c r="R46" s="149" t="str">
        <f>'1. Erosion Haz + Basins'!F40</f>
        <v/>
      </c>
      <c r="S46" s="149" t="str">
        <f>'1. Erosion Haz + Basins'!G40</f>
        <v/>
      </c>
      <c r="T46" s="145"/>
      <c r="U46" s="93"/>
    </row>
    <row r="47" spans="1:27" x14ac:dyDescent="0.2">
      <c r="M47" s="250" t="s">
        <v>166</v>
      </c>
      <c r="N47" s="235">
        <f>'1. Erosion Haz + Basins'!B15</f>
        <v>0</v>
      </c>
      <c r="O47" s="235">
        <f>'1. Erosion Haz + Basins'!C15</f>
        <v>0</v>
      </c>
      <c r="P47" s="235">
        <f>'1. Erosion Haz + Basins'!D15</f>
        <v>0</v>
      </c>
      <c r="Q47" s="235">
        <f>'1. Erosion Haz + Basins'!E15</f>
        <v>0</v>
      </c>
      <c r="R47" s="235">
        <f>'1. Erosion Haz + Basins'!F15</f>
        <v>0</v>
      </c>
      <c r="S47" s="235">
        <f>'1. Erosion Haz + Basins'!G15</f>
        <v>0</v>
      </c>
      <c r="T47" s="145"/>
      <c r="U47" s="93"/>
    </row>
    <row r="48" spans="1:27" x14ac:dyDescent="0.2">
      <c r="M48" s="145"/>
      <c r="N48" s="145"/>
      <c r="O48" s="145"/>
      <c r="P48" s="145"/>
      <c r="Q48" s="145"/>
      <c r="R48" s="145"/>
      <c r="S48" s="145"/>
      <c r="T48" s="145"/>
      <c r="U48" s="93"/>
    </row>
    <row r="49" spans="13:21" x14ac:dyDescent="0.2">
      <c r="M49" s="93"/>
      <c r="N49" s="93"/>
      <c r="O49" s="93"/>
      <c r="P49" s="93"/>
      <c r="Q49" s="93"/>
      <c r="R49" s="93"/>
      <c r="S49" s="93"/>
      <c r="T49" s="93"/>
      <c r="U49" s="93"/>
    </row>
  </sheetData>
  <sheetProtection algorithmName="SHA-512" hashValue="8MPXa+bPeawYbzVOgO1k4M2/p5/pH5EdS+zu7+OGeG8iwTYQYSbWeuo5LPshXZO01/xFDcqmpBj/ZIVU+JAEcA==" saltValue="CQZaaD4aiRaBz8WDqvuFmw==" spinCount="100000" sheet="1" objects="1" formatColumns="0" selectLockedCells="1"/>
  <mergeCells count="57">
    <mergeCell ref="A8:B8"/>
    <mergeCell ref="I8:K8"/>
    <mergeCell ref="I18:K18"/>
    <mergeCell ref="A31:B31"/>
    <mergeCell ref="I31:K31"/>
    <mergeCell ref="A29:B29"/>
    <mergeCell ref="I29:K29"/>
    <mergeCell ref="I10:K10"/>
    <mergeCell ref="I11:K11"/>
    <mergeCell ref="A13:B13"/>
    <mergeCell ref="A14:B14"/>
    <mergeCell ref="A28:K28"/>
    <mergeCell ref="I22:K22"/>
    <mergeCell ref="A22:B22"/>
    <mergeCell ref="A21:B21"/>
    <mergeCell ref="I30:K30"/>
    <mergeCell ref="A27:B27"/>
    <mergeCell ref="A18:B18"/>
    <mergeCell ref="A32:B32"/>
    <mergeCell ref="I27:K27"/>
    <mergeCell ref="I32:K32"/>
    <mergeCell ref="I19:K19"/>
    <mergeCell ref="A25:B25"/>
    <mergeCell ref="A26:B26"/>
    <mergeCell ref="A23:B23"/>
    <mergeCell ref="I23:K23"/>
    <mergeCell ref="A24:B24"/>
    <mergeCell ref="I24:K24"/>
    <mergeCell ref="I25:K26"/>
    <mergeCell ref="C21:K21"/>
    <mergeCell ref="A19:B19"/>
    <mergeCell ref="A20:B20"/>
    <mergeCell ref="I20:K20"/>
    <mergeCell ref="A30:B30"/>
    <mergeCell ref="A1:F1"/>
    <mergeCell ref="C3:H3"/>
    <mergeCell ref="A4:B4"/>
    <mergeCell ref="A5:B5"/>
    <mergeCell ref="I5:K5"/>
    <mergeCell ref="I3:K3"/>
    <mergeCell ref="I4:K4"/>
    <mergeCell ref="C6:K6"/>
    <mergeCell ref="I14:K14"/>
    <mergeCell ref="A15:B15"/>
    <mergeCell ref="A6:B6"/>
    <mergeCell ref="I17:K17"/>
    <mergeCell ref="A16:K16"/>
    <mergeCell ref="A7:B7"/>
    <mergeCell ref="A9:B9"/>
    <mergeCell ref="A17:B17"/>
    <mergeCell ref="A12:B12"/>
    <mergeCell ref="A10:B10"/>
    <mergeCell ref="A11:B11"/>
    <mergeCell ref="I15:K15"/>
    <mergeCell ref="I12:K13"/>
    <mergeCell ref="I7:K7"/>
    <mergeCell ref="I9:K9"/>
  </mergeCells>
  <dataValidations count="2">
    <dataValidation type="list" allowBlank="1" showInputMessage="1" showErrorMessage="1" sqref="C8:H8" xr:uid="{5829A298-D62B-45A3-ADF3-5E2035526BD2}">
      <formula1>$M$9:$M$14</formula1>
    </dataValidation>
    <dataValidation type="list" allowBlank="1" showInputMessage="1" showErrorMessage="1" sqref="C17:H17" xr:uid="{F386A9A7-96F7-4995-801D-D26EAD79B8C6}">
      <formula1>$M$37:$M$43</formula1>
    </dataValidation>
  </dataValidations>
  <pageMargins left="0.7" right="0.7" top="0.75" bottom="0.75" header="0.3" footer="0.3"/>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7A538-A798-4109-A5A5-3B87B280B413}">
  <sheetPr codeName="Sheet2"/>
  <dimension ref="A1:K53"/>
  <sheetViews>
    <sheetView showZeros="0" view="pageBreakPreview" zoomScaleNormal="115" zoomScaleSheetLayoutView="100" workbookViewId="0">
      <selection activeCell="F30" sqref="F30"/>
    </sheetView>
  </sheetViews>
  <sheetFormatPr defaultRowHeight="12.75" x14ac:dyDescent="0.2"/>
  <cols>
    <col min="1" max="1" width="19.42578125" customWidth="1"/>
    <col min="2" max="2" width="6.5703125" customWidth="1"/>
    <col min="3" max="4" width="6.140625" customWidth="1"/>
    <col min="5" max="8" width="5.7109375" customWidth="1"/>
    <col min="9" max="9" width="5.85546875" customWidth="1"/>
    <col min="10" max="10" width="35.42578125" customWidth="1"/>
    <col min="11" max="11" width="12.5703125" customWidth="1"/>
  </cols>
  <sheetData>
    <row r="1" spans="1:11" ht="18" x14ac:dyDescent="0.2">
      <c r="A1" s="656" t="s">
        <v>259</v>
      </c>
      <c r="B1" s="655"/>
      <c r="C1" s="655"/>
      <c r="D1" s="655"/>
      <c r="E1" s="655"/>
    </row>
    <row r="2" spans="1:11" ht="15.75" x14ac:dyDescent="0.2">
      <c r="A2" t="s">
        <v>7</v>
      </c>
      <c r="F2" s="655" t="s">
        <v>52</v>
      </c>
      <c r="G2" s="655"/>
      <c r="H2" s="655"/>
      <c r="I2" s="655"/>
      <c r="J2" s="655"/>
      <c r="K2" s="59"/>
    </row>
    <row r="3" spans="1:11" ht="4.5" customHeight="1" x14ac:dyDescent="0.2"/>
    <row r="4" spans="1:11" ht="14.25" customHeight="1" x14ac:dyDescent="0.3">
      <c r="A4" s="6" t="s">
        <v>12</v>
      </c>
      <c r="B4" s="7" t="s">
        <v>15</v>
      </c>
      <c r="C4" t="s">
        <v>34</v>
      </c>
    </row>
    <row r="5" spans="1:11" ht="13.5" customHeight="1" x14ac:dyDescent="0.3">
      <c r="B5" s="7" t="s">
        <v>14</v>
      </c>
      <c r="C5" t="s">
        <v>50</v>
      </c>
      <c r="D5" s="28"/>
      <c r="E5" s="28"/>
      <c r="F5" s="28"/>
      <c r="G5" s="28"/>
      <c r="H5" s="28"/>
      <c r="I5" s="28"/>
      <c r="J5" s="28"/>
      <c r="K5" s="28"/>
    </row>
    <row r="6" spans="1:11" ht="14.25" customHeight="1" x14ac:dyDescent="0.3">
      <c r="B6" s="7" t="s">
        <v>13</v>
      </c>
      <c r="C6" t="s">
        <v>51</v>
      </c>
      <c r="D6" s="28"/>
      <c r="E6" s="28"/>
      <c r="F6" s="28"/>
      <c r="G6" s="28"/>
      <c r="H6" s="28"/>
      <c r="I6" s="28"/>
      <c r="J6" s="28"/>
      <c r="K6" s="28"/>
    </row>
    <row r="7" spans="1:11" ht="12" customHeight="1" x14ac:dyDescent="0.2">
      <c r="B7" s="7" t="s">
        <v>1</v>
      </c>
      <c r="C7" t="s">
        <v>6</v>
      </c>
    </row>
    <row r="8" spans="1:11" ht="14.25" customHeight="1" x14ac:dyDescent="0.3">
      <c r="B8" s="7" t="s">
        <v>16</v>
      </c>
      <c r="C8" t="s">
        <v>5</v>
      </c>
    </row>
    <row r="9" spans="1:11" x14ac:dyDescent="0.2">
      <c r="C9" t="s">
        <v>35</v>
      </c>
    </row>
    <row r="10" spans="1:11" ht="4.5" customHeight="1" x14ac:dyDescent="0.2"/>
    <row r="11" spans="1:11" ht="18" customHeight="1" x14ac:dyDescent="0.2">
      <c r="A11" s="657" t="s">
        <v>360</v>
      </c>
      <c r="B11" s="657"/>
      <c r="C11" s="657"/>
      <c r="D11" s="657"/>
      <c r="E11" s="657"/>
      <c r="F11" s="657"/>
      <c r="G11" s="657"/>
      <c r="H11" s="657"/>
      <c r="I11" s="657"/>
      <c r="J11" s="657"/>
    </row>
    <row r="12" spans="1:11" ht="16.5" customHeight="1" x14ac:dyDescent="0.2">
      <c r="A12" s="659" t="s">
        <v>91</v>
      </c>
      <c r="B12" s="659"/>
      <c r="C12" s="659"/>
      <c r="D12" s="659"/>
      <c r="E12" s="659"/>
      <c r="F12" s="659"/>
      <c r="G12" s="659"/>
      <c r="H12" s="659"/>
      <c r="I12" s="659"/>
      <c r="J12" s="659"/>
    </row>
    <row r="13" spans="1:11" ht="7.5" customHeight="1" x14ac:dyDescent="0.2"/>
    <row r="14" spans="1:11" ht="42.75" customHeight="1" x14ac:dyDescent="0.2">
      <c r="A14" s="658" t="s">
        <v>403</v>
      </c>
      <c r="B14" s="658"/>
      <c r="C14" s="658"/>
      <c r="D14" s="658"/>
      <c r="E14" s="658"/>
      <c r="F14" s="658"/>
      <c r="G14" s="658"/>
      <c r="H14" s="658"/>
      <c r="I14" s="658"/>
      <c r="J14" s="658"/>
      <c r="K14" s="49"/>
    </row>
    <row r="15" spans="1:11" ht="3.75" customHeight="1" x14ac:dyDescent="0.2">
      <c r="A15" s="89"/>
      <c r="B15" s="89"/>
      <c r="C15" s="89"/>
      <c r="D15" s="89"/>
      <c r="E15" s="89"/>
      <c r="F15" s="89"/>
      <c r="G15" s="89"/>
      <c r="H15" s="89"/>
      <c r="I15" s="89"/>
      <c r="J15" s="89"/>
      <c r="K15" s="49"/>
    </row>
    <row r="16" spans="1:11" ht="18" customHeight="1" thickBot="1" x14ac:dyDescent="0.25">
      <c r="A16" s="90" t="s">
        <v>76</v>
      </c>
      <c r="B16" s="90"/>
      <c r="C16" s="90"/>
      <c r="D16" s="90"/>
      <c r="E16" s="90"/>
      <c r="F16" s="90"/>
      <c r="G16" s="90"/>
      <c r="H16" s="90"/>
      <c r="I16" s="90"/>
      <c r="J16" s="90" t="s">
        <v>44</v>
      </c>
      <c r="K16" s="27"/>
    </row>
    <row r="17" spans="1:11" ht="15" customHeight="1" thickBot="1" x14ac:dyDescent="0.25">
      <c r="A17" s="44" t="s">
        <v>77</v>
      </c>
      <c r="B17" s="309"/>
      <c r="C17" s="312"/>
      <c r="D17" s="312"/>
      <c r="E17" s="312"/>
      <c r="F17" s="312"/>
      <c r="G17" s="312"/>
      <c r="H17" s="312"/>
      <c r="I17" s="311"/>
      <c r="J17" s="45"/>
      <c r="K17" s="27"/>
    </row>
    <row r="18" spans="1:11" ht="15" customHeight="1" x14ac:dyDescent="0.2">
      <c r="A18" s="50" t="s">
        <v>53</v>
      </c>
      <c r="B18" s="344"/>
      <c r="C18" s="346"/>
      <c r="D18" s="346"/>
      <c r="E18" s="346"/>
      <c r="F18" s="346"/>
      <c r="G18" s="346"/>
      <c r="H18" s="346"/>
      <c r="I18" s="383"/>
      <c r="J18" s="51" t="s">
        <v>92</v>
      </c>
      <c r="K18" s="27"/>
    </row>
    <row r="19" spans="1:11" ht="15" customHeight="1" x14ac:dyDescent="0.2">
      <c r="A19" s="50" t="s">
        <v>399</v>
      </c>
      <c r="B19" s="61"/>
      <c r="C19" s="62"/>
      <c r="D19" s="62"/>
      <c r="E19" s="62"/>
      <c r="F19" s="62"/>
      <c r="G19" s="62"/>
      <c r="H19" s="62"/>
      <c r="I19" s="63"/>
      <c r="J19" s="51" t="s">
        <v>404</v>
      </c>
      <c r="K19" s="27"/>
    </row>
    <row r="20" spans="1:11" ht="15" customHeight="1" x14ac:dyDescent="0.2">
      <c r="A20" s="50" t="s">
        <v>401</v>
      </c>
      <c r="B20" s="449"/>
      <c r="C20" s="450"/>
      <c r="D20" s="450"/>
      <c r="E20" s="450"/>
      <c r="F20" s="450"/>
      <c r="G20" s="450"/>
      <c r="H20" s="450"/>
      <c r="I20" s="451"/>
      <c r="J20" s="51" t="s">
        <v>402</v>
      </c>
      <c r="K20" s="27"/>
    </row>
    <row r="21" spans="1:11" ht="15" customHeight="1" thickBot="1" x14ac:dyDescent="0.25">
      <c r="A21" s="37" t="s">
        <v>400</v>
      </c>
      <c r="B21" s="384" t="str">
        <f t="shared" ref="B21:I21" si="0">IF(B18="","",IF(B20="",IF(B19="x",ROUND((0.76*0.5*(B18/100)^0.38)*60,0),ROUND((0.76*(B18/100)^0.38)*60,0)),B20))</f>
        <v/>
      </c>
      <c r="C21" s="38" t="str">
        <f t="shared" si="0"/>
        <v/>
      </c>
      <c r="D21" s="38" t="str">
        <f t="shared" si="0"/>
        <v/>
      </c>
      <c r="E21" s="38" t="str">
        <f t="shared" si="0"/>
        <v/>
      </c>
      <c r="F21" s="38" t="str">
        <f t="shared" si="0"/>
        <v/>
      </c>
      <c r="G21" s="38" t="str">
        <f t="shared" si="0"/>
        <v/>
      </c>
      <c r="H21" s="38" t="str">
        <f t="shared" si="0"/>
        <v/>
      </c>
      <c r="I21" s="39" t="str">
        <f t="shared" si="0"/>
        <v/>
      </c>
      <c r="J21" s="56" t="s">
        <v>85</v>
      </c>
      <c r="K21" s="27"/>
    </row>
    <row r="22" spans="1:11" ht="4.5" customHeight="1" x14ac:dyDescent="0.2">
      <c r="A22" s="29"/>
      <c r="B22" s="35"/>
      <c r="C22" s="35"/>
      <c r="D22" s="35"/>
      <c r="E22" s="35"/>
      <c r="F22" s="35"/>
      <c r="G22" s="35"/>
      <c r="H22" s="35"/>
      <c r="I22" s="35"/>
      <c r="J22" s="35"/>
      <c r="K22" s="27"/>
    </row>
    <row r="23" spans="1:11" ht="15" customHeight="1" thickBot="1" x14ac:dyDescent="0.25">
      <c r="A23" s="32" t="s">
        <v>54</v>
      </c>
      <c r="B23" s="35"/>
      <c r="C23" s="35"/>
      <c r="D23" s="35"/>
      <c r="E23" s="35"/>
      <c r="F23" s="35"/>
      <c r="G23" s="35"/>
      <c r="H23" s="35"/>
      <c r="I23" s="35"/>
      <c r="J23" s="35"/>
      <c r="K23" s="27"/>
    </row>
    <row r="24" spans="1:11" ht="15" customHeight="1" x14ac:dyDescent="0.2">
      <c r="A24" s="84" t="s">
        <v>55</v>
      </c>
      <c r="B24" s="67"/>
      <c r="C24" s="68"/>
      <c r="D24" s="68"/>
      <c r="E24" s="68"/>
      <c r="F24" s="68"/>
      <c r="G24" s="68"/>
      <c r="H24" s="68"/>
      <c r="I24" s="69"/>
      <c r="J24" s="651" t="s">
        <v>84</v>
      </c>
      <c r="K24" s="27"/>
    </row>
    <row r="25" spans="1:11" ht="15" customHeight="1" x14ac:dyDescent="0.2">
      <c r="A25" s="42" t="s">
        <v>86</v>
      </c>
      <c r="B25" s="61"/>
      <c r="C25" s="62"/>
      <c r="D25" s="62"/>
      <c r="E25" s="62"/>
      <c r="F25" s="62"/>
      <c r="G25" s="62"/>
      <c r="H25" s="62"/>
      <c r="I25" s="63"/>
      <c r="J25" s="652"/>
      <c r="K25" s="27"/>
    </row>
    <row r="26" spans="1:11" ht="15" customHeight="1" x14ac:dyDescent="0.2">
      <c r="A26" s="42" t="s">
        <v>56</v>
      </c>
      <c r="B26" s="64"/>
      <c r="C26" s="65"/>
      <c r="D26" s="65"/>
      <c r="E26" s="65"/>
      <c r="F26" s="65"/>
      <c r="G26" s="65"/>
      <c r="H26" s="65"/>
      <c r="I26" s="66"/>
      <c r="J26" s="652"/>
      <c r="K26" s="27"/>
    </row>
    <row r="27" spans="1:11" ht="15" customHeight="1" x14ac:dyDescent="0.2">
      <c r="A27" s="42" t="s">
        <v>57</v>
      </c>
      <c r="B27" s="64"/>
      <c r="C27" s="65"/>
      <c r="D27" s="65"/>
      <c r="E27" s="65"/>
      <c r="F27" s="65"/>
      <c r="G27" s="65"/>
      <c r="H27" s="65"/>
      <c r="I27" s="66"/>
      <c r="J27" s="652"/>
      <c r="K27" s="27"/>
    </row>
    <row r="28" spans="1:11" ht="15" customHeight="1" x14ac:dyDescent="0.2">
      <c r="A28" s="42" t="s">
        <v>58</v>
      </c>
      <c r="B28" s="64"/>
      <c r="C28" s="65"/>
      <c r="D28" s="65"/>
      <c r="E28" s="65"/>
      <c r="F28" s="65"/>
      <c r="G28" s="65"/>
      <c r="H28" s="65"/>
      <c r="I28" s="66"/>
      <c r="J28" s="652"/>
      <c r="K28" s="27"/>
    </row>
    <row r="29" spans="1:11" ht="15" customHeight="1" x14ac:dyDescent="0.2">
      <c r="A29" s="42" t="s">
        <v>59</v>
      </c>
      <c r="B29" s="64"/>
      <c r="C29" s="65"/>
      <c r="D29" s="65"/>
      <c r="E29" s="65"/>
      <c r="F29" s="65"/>
      <c r="G29" s="65"/>
      <c r="H29" s="65"/>
      <c r="I29" s="66"/>
      <c r="J29" s="652"/>
      <c r="K29" s="27"/>
    </row>
    <row r="30" spans="1:11" ht="15" customHeight="1" thickBot="1" x14ac:dyDescent="0.25">
      <c r="A30" s="43" t="s">
        <v>60</v>
      </c>
      <c r="B30" s="70"/>
      <c r="C30" s="71"/>
      <c r="D30" s="71"/>
      <c r="E30" s="71"/>
      <c r="F30" s="71"/>
      <c r="G30" s="71"/>
      <c r="H30" s="71"/>
      <c r="I30" s="72"/>
      <c r="J30" s="653"/>
      <c r="K30" s="27"/>
    </row>
    <row r="31" spans="1:11" ht="5.25" customHeight="1" thickBot="1" x14ac:dyDescent="0.25">
      <c r="A31" s="29"/>
      <c r="B31" s="35"/>
      <c r="C31" s="35"/>
      <c r="D31" s="35"/>
      <c r="E31" s="35"/>
      <c r="F31" s="35"/>
      <c r="G31" s="35"/>
      <c r="H31" s="35"/>
      <c r="I31" s="35"/>
      <c r="J31" s="35"/>
      <c r="K31" s="27"/>
    </row>
    <row r="32" spans="1:11" ht="15" customHeight="1" thickBot="1" x14ac:dyDescent="0.25">
      <c r="A32" s="44" t="s">
        <v>61</v>
      </c>
      <c r="B32" s="60"/>
      <c r="C32" s="385"/>
      <c r="D32" s="385"/>
      <c r="E32" s="385"/>
      <c r="F32" s="385"/>
      <c r="G32" s="385"/>
      <c r="H32" s="385"/>
      <c r="I32" s="386"/>
      <c r="J32" s="45" t="s">
        <v>359</v>
      </c>
      <c r="K32" s="27"/>
    </row>
    <row r="33" spans="1:11" ht="4.5" customHeight="1" x14ac:dyDescent="0.2">
      <c r="A33" s="29"/>
      <c r="B33" s="35"/>
      <c r="C33" s="35"/>
      <c r="D33" s="35"/>
      <c r="E33" s="35"/>
      <c r="F33" s="35"/>
      <c r="G33" s="35"/>
      <c r="H33" s="35"/>
      <c r="I33" s="35"/>
      <c r="J33" s="35"/>
      <c r="K33" s="27"/>
    </row>
    <row r="34" spans="1:11" ht="15" customHeight="1" thickBot="1" x14ac:dyDescent="0.25">
      <c r="A34" s="36" t="s">
        <v>62</v>
      </c>
      <c r="B34" s="35"/>
      <c r="C34" s="35"/>
      <c r="D34" s="35"/>
      <c r="E34" s="35"/>
      <c r="F34" s="35"/>
      <c r="G34" s="35"/>
      <c r="H34" s="35"/>
      <c r="I34" s="35"/>
      <c r="J34" s="35"/>
      <c r="K34" s="27"/>
    </row>
    <row r="35" spans="1:11" ht="15" customHeight="1" x14ac:dyDescent="0.2">
      <c r="A35" s="88" t="s">
        <v>63</v>
      </c>
      <c r="B35" s="67">
        <v>0.8</v>
      </c>
      <c r="C35" s="68">
        <v>0.8</v>
      </c>
      <c r="D35" s="68">
        <v>0.8</v>
      </c>
      <c r="E35" s="68">
        <v>0.8</v>
      </c>
      <c r="F35" s="68">
        <v>0.8</v>
      </c>
      <c r="G35" s="68">
        <v>0.8</v>
      </c>
      <c r="H35" s="68">
        <v>0.8</v>
      </c>
      <c r="I35" s="69">
        <v>0.8</v>
      </c>
      <c r="J35" s="54" t="s">
        <v>78</v>
      </c>
      <c r="K35" s="27"/>
    </row>
    <row r="36" spans="1:11" ht="15" customHeight="1" x14ac:dyDescent="0.2">
      <c r="A36" s="42" t="s">
        <v>87</v>
      </c>
      <c r="B36" s="85">
        <v>0.85</v>
      </c>
      <c r="C36" s="86">
        <v>0.85</v>
      </c>
      <c r="D36" s="65">
        <v>0.85</v>
      </c>
      <c r="E36" s="87">
        <v>0.85</v>
      </c>
      <c r="F36" s="86">
        <v>0.85</v>
      </c>
      <c r="G36" s="65">
        <v>0.85</v>
      </c>
      <c r="H36" s="87">
        <v>0.85</v>
      </c>
      <c r="I36" s="86">
        <v>0.85</v>
      </c>
      <c r="J36" s="40" t="s">
        <v>88</v>
      </c>
      <c r="K36" s="27"/>
    </row>
    <row r="37" spans="1:11" ht="15" customHeight="1" x14ac:dyDescent="0.2">
      <c r="A37" s="52" t="s">
        <v>64</v>
      </c>
      <c r="B37" s="64">
        <v>0.95</v>
      </c>
      <c r="C37" s="65">
        <v>0.95</v>
      </c>
      <c r="D37" s="65">
        <v>0.95</v>
      </c>
      <c r="E37" s="65">
        <v>0.95</v>
      </c>
      <c r="F37" s="65">
        <v>0.95</v>
      </c>
      <c r="G37" s="65">
        <v>0.95</v>
      </c>
      <c r="H37" s="65">
        <v>0.95</v>
      </c>
      <c r="I37" s="66">
        <v>0.95</v>
      </c>
      <c r="J37" s="55" t="s">
        <v>79</v>
      </c>
      <c r="K37" s="27"/>
    </row>
    <row r="38" spans="1:11" ht="15" customHeight="1" x14ac:dyDescent="0.2">
      <c r="A38" s="52" t="s">
        <v>65</v>
      </c>
      <c r="B38" s="64">
        <v>1</v>
      </c>
      <c r="C38" s="65">
        <v>1</v>
      </c>
      <c r="D38" s="65">
        <v>1</v>
      </c>
      <c r="E38" s="65">
        <v>1</v>
      </c>
      <c r="F38" s="65">
        <v>1</v>
      </c>
      <c r="G38" s="65">
        <v>1</v>
      </c>
      <c r="H38" s="65">
        <v>1</v>
      </c>
      <c r="I38" s="66">
        <v>1</v>
      </c>
      <c r="J38" s="55" t="s">
        <v>80</v>
      </c>
      <c r="K38" s="27"/>
    </row>
    <row r="39" spans="1:11" ht="15" customHeight="1" x14ac:dyDescent="0.2">
      <c r="A39" s="52" t="s">
        <v>66</v>
      </c>
      <c r="B39" s="64">
        <v>1.05</v>
      </c>
      <c r="C39" s="65">
        <v>1.05</v>
      </c>
      <c r="D39" s="65">
        <v>1.05</v>
      </c>
      <c r="E39" s="65">
        <v>1.05</v>
      </c>
      <c r="F39" s="65">
        <v>1.05</v>
      </c>
      <c r="G39" s="65">
        <v>1.05</v>
      </c>
      <c r="H39" s="65">
        <v>1.05</v>
      </c>
      <c r="I39" s="66">
        <v>1.05</v>
      </c>
      <c r="J39" s="55" t="s">
        <v>81</v>
      </c>
      <c r="K39" s="27"/>
    </row>
    <row r="40" spans="1:11" ht="15" customHeight="1" x14ac:dyDescent="0.2">
      <c r="A40" s="52" t="s">
        <v>67</v>
      </c>
      <c r="B40" s="64">
        <v>1.1499999999999999</v>
      </c>
      <c r="C40" s="65">
        <v>1.1499999999999999</v>
      </c>
      <c r="D40" s="65">
        <v>1.1499999999999999</v>
      </c>
      <c r="E40" s="65">
        <v>1.1499999999999999</v>
      </c>
      <c r="F40" s="65">
        <v>1.1499999999999999</v>
      </c>
      <c r="G40" s="65">
        <v>1.1499999999999999</v>
      </c>
      <c r="H40" s="65">
        <v>1.1499999999999999</v>
      </c>
      <c r="I40" s="66">
        <v>1.1499999999999999</v>
      </c>
      <c r="J40" s="55" t="s">
        <v>82</v>
      </c>
      <c r="K40" s="27"/>
    </row>
    <row r="41" spans="1:11" ht="15" customHeight="1" thickBot="1" x14ac:dyDescent="0.25">
      <c r="A41" s="53" t="s">
        <v>68</v>
      </c>
      <c r="B41" s="70">
        <v>1.2</v>
      </c>
      <c r="C41" s="71">
        <v>1.2</v>
      </c>
      <c r="D41" s="71">
        <v>1.2</v>
      </c>
      <c r="E41" s="71">
        <v>1.2</v>
      </c>
      <c r="F41" s="71">
        <v>1.2</v>
      </c>
      <c r="G41" s="71">
        <v>1.2</v>
      </c>
      <c r="H41" s="71">
        <v>1.2</v>
      </c>
      <c r="I41" s="72">
        <v>1.2</v>
      </c>
      <c r="J41" s="56" t="s">
        <v>83</v>
      </c>
      <c r="K41" s="27"/>
    </row>
    <row r="42" spans="1:11" ht="4.5" customHeight="1" x14ac:dyDescent="0.25">
      <c r="A42" s="33"/>
      <c r="B42" s="35"/>
      <c r="C42" s="35"/>
      <c r="D42" s="35"/>
      <c r="E42" s="35"/>
      <c r="F42" s="35"/>
      <c r="G42" s="35"/>
      <c r="H42" s="35"/>
      <c r="I42" s="35"/>
      <c r="J42" s="35"/>
      <c r="K42" s="27"/>
    </row>
    <row r="43" spans="1:11" ht="15" customHeight="1" thickBot="1" x14ac:dyDescent="0.25">
      <c r="A43" s="36" t="s">
        <v>69</v>
      </c>
      <c r="B43" s="35"/>
      <c r="C43" s="35"/>
      <c r="D43" s="35"/>
      <c r="E43" s="77"/>
      <c r="F43" s="77"/>
      <c r="G43" s="77"/>
      <c r="H43" s="77"/>
      <c r="I43" s="77"/>
      <c r="J43" s="27" t="s">
        <v>44</v>
      </c>
      <c r="K43" s="27"/>
    </row>
    <row r="44" spans="1:11" ht="15" customHeight="1" x14ac:dyDescent="0.2">
      <c r="A44" s="84" t="s">
        <v>70</v>
      </c>
      <c r="B44" s="46">
        <f t="shared" ref="B44:B50" si="1">ROUND(0.00278*$B$18*B24*B35*$B$32,3)</f>
        <v>0</v>
      </c>
      <c r="C44" s="47">
        <f t="shared" ref="C44:C50" si="2">ROUND(0.00278*$C$18*C24*C35*$C$32,3)</f>
        <v>0</v>
      </c>
      <c r="D44" s="47">
        <f t="shared" ref="D44:D50" si="3">ROUND(0.00278*$D$18*D24*D35*$D$32,3)</f>
        <v>0</v>
      </c>
      <c r="E44" s="76">
        <f t="shared" ref="E44:E50" si="4">ROUND(0.00278*$E$18*E24*E35*$E$32,3)</f>
        <v>0</v>
      </c>
      <c r="F44" s="76">
        <f t="shared" ref="F44:F50" si="5">ROUND(0.00278*$F$18*F24*F35*$F$32,3)</f>
        <v>0</v>
      </c>
      <c r="G44" s="76">
        <f t="shared" ref="G44:G50" si="6">ROUND(0.00278*$G$18*G24*G35*$G$32,3)</f>
        <v>0</v>
      </c>
      <c r="H44" s="76">
        <f t="shared" ref="H44:H50" si="7">ROUND(0.00278*$H$18*H24*H35*$H$32,3)</f>
        <v>0</v>
      </c>
      <c r="I44" s="83">
        <f t="shared" ref="I44:I50" si="8">ROUND(0.00278*$I$18*I24*I35*$I$32,3)</f>
        <v>0</v>
      </c>
      <c r="J44" s="212"/>
      <c r="K44" s="27"/>
    </row>
    <row r="45" spans="1:11" ht="15" customHeight="1" x14ac:dyDescent="0.2">
      <c r="A45" s="42" t="s">
        <v>89</v>
      </c>
      <c r="B45" s="48">
        <f t="shared" si="1"/>
        <v>0</v>
      </c>
      <c r="C45" s="34">
        <f t="shared" si="2"/>
        <v>0</v>
      </c>
      <c r="D45" s="34">
        <f t="shared" si="3"/>
        <v>0</v>
      </c>
      <c r="E45" s="34">
        <f t="shared" si="4"/>
        <v>0</v>
      </c>
      <c r="F45" s="34">
        <f t="shared" si="5"/>
        <v>0</v>
      </c>
      <c r="G45" s="34">
        <f t="shared" si="6"/>
        <v>0</v>
      </c>
      <c r="H45" s="34">
        <f t="shared" si="7"/>
        <v>0</v>
      </c>
      <c r="I45" s="82">
        <f t="shared" si="8"/>
        <v>0</v>
      </c>
      <c r="J45" s="40"/>
      <c r="K45" s="27"/>
    </row>
    <row r="46" spans="1:11" ht="15" customHeight="1" x14ac:dyDescent="0.2">
      <c r="A46" s="52" t="s">
        <v>71</v>
      </c>
      <c r="B46" s="48">
        <f t="shared" si="1"/>
        <v>0</v>
      </c>
      <c r="C46" s="34">
        <f t="shared" si="2"/>
        <v>0</v>
      </c>
      <c r="D46" s="34">
        <f t="shared" si="3"/>
        <v>0</v>
      </c>
      <c r="E46" s="34">
        <f t="shared" si="4"/>
        <v>0</v>
      </c>
      <c r="F46" s="34">
        <f t="shared" si="5"/>
        <v>0</v>
      </c>
      <c r="G46" s="34">
        <f t="shared" si="6"/>
        <v>0</v>
      </c>
      <c r="H46" s="34">
        <f t="shared" si="7"/>
        <v>0</v>
      </c>
      <c r="I46" s="82">
        <f t="shared" si="8"/>
        <v>0</v>
      </c>
      <c r="J46" s="40"/>
      <c r="K46" s="27"/>
    </row>
    <row r="47" spans="1:11" ht="15" customHeight="1" x14ac:dyDescent="0.2">
      <c r="A47" s="52" t="s">
        <v>72</v>
      </c>
      <c r="B47" s="48">
        <f t="shared" si="1"/>
        <v>0</v>
      </c>
      <c r="C47" s="34">
        <f t="shared" si="2"/>
        <v>0</v>
      </c>
      <c r="D47" s="34">
        <f t="shared" si="3"/>
        <v>0</v>
      </c>
      <c r="E47" s="34">
        <f t="shared" si="4"/>
        <v>0</v>
      </c>
      <c r="F47" s="34">
        <f t="shared" si="5"/>
        <v>0</v>
      </c>
      <c r="G47" s="34">
        <f t="shared" si="6"/>
        <v>0</v>
      </c>
      <c r="H47" s="34">
        <f t="shared" si="7"/>
        <v>0</v>
      </c>
      <c r="I47" s="82">
        <f t="shared" si="8"/>
        <v>0</v>
      </c>
      <c r="J47" s="40"/>
      <c r="K47" s="27"/>
    </row>
    <row r="48" spans="1:11" ht="15" customHeight="1" x14ac:dyDescent="0.2">
      <c r="A48" s="52" t="s">
        <v>73</v>
      </c>
      <c r="B48" s="48">
        <f t="shared" si="1"/>
        <v>0</v>
      </c>
      <c r="C48" s="34">
        <f t="shared" si="2"/>
        <v>0</v>
      </c>
      <c r="D48" s="34">
        <f t="shared" si="3"/>
        <v>0</v>
      </c>
      <c r="E48" s="34">
        <f t="shared" si="4"/>
        <v>0</v>
      </c>
      <c r="F48" s="34">
        <f t="shared" si="5"/>
        <v>0</v>
      </c>
      <c r="G48" s="34">
        <f t="shared" si="6"/>
        <v>0</v>
      </c>
      <c r="H48" s="34">
        <f t="shared" si="7"/>
        <v>0</v>
      </c>
      <c r="I48" s="82">
        <f t="shared" si="8"/>
        <v>0</v>
      </c>
      <c r="J48" s="40"/>
      <c r="K48" s="27"/>
    </row>
    <row r="49" spans="1:11" ht="15" customHeight="1" x14ac:dyDescent="0.2">
      <c r="A49" s="52" t="s">
        <v>74</v>
      </c>
      <c r="B49" s="48">
        <f t="shared" si="1"/>
        <v>0</v>
      </c>
      <c r="C49" s="34">
        <f t="shared" si="2"/>
        <v>0</v>
      </c>
      <c r="D49" s="34">
        <f t="shared" si="3"/>
        <v>0</v>
      </c>
      <c r="E49" s="34">
        <f t="shared" si="4"/>
        <v>0</v>
      </c>
      <c r="F49" s="34">
        <f t="shared" si="5"/>
        <v>0</v>
      </c>
      <c r="G49" s="34">
        <f t="shared" si="6"/>
        <v>0</v>
      </c>
      <c r="H49" s="34">
        <f t="shared" si="7"/>
        <v>0</v>
      </c>
      <c r="I49" s="82">
        <f t="shared" si="8"/>
        <v>0</v>
      </c>
      <c r="J49" s="40"/>
      <c r="K49" s="27"/>
    </row>
    <row r="50" spans="1:11" ht="15" customHeight="1" thickBot="1" x14ac:dyDescent="0.25">
      <c r="A50" s="53" t="s">
        <v>75</v>
      </c>
      <c r="B50" s="78">
        <f t="shared" si="1"/>
        <v>0</v>
      </c>
      <c r="C50" s="80">
        <f t="shared" si="2"/>
        <v>0</v>
      </c>
      <c r="D50" s="80">
        <f t="shared" si="3"/>
        <v>0</v>
      </c>
      <c r="E50" s="80">
        <f t="shared" si="4"/>
        <v>0</v>
      </c>
      <c r="F50" s="80">
        <f t="shared" si="5"/>
        <v>0</v>
      </c>
      <c r="G50" s="38">
        <f t="shared" si="6"/>
        <v>0</v>
      </c>
      <c r="H50" s="38">
        <f t="shared" si="7"/>
        <v>0</v>
      </c>
      <c r="I50" s="81">
        <f t="shared" si="8"/>
        <v>0</v>
      </c>
      <c r="J50" s="41"/>
      <c r="K50" s="27"/>
    </row>
    <row r="51" spans="1:11" ht="3" customHeight="1" x14ac:dyDescent="0.25">
      <c r="A51" s="33"/>
      <c r="B51" s="79"/>
      <c r="C51" s="79"/>
      <c r="D51" s="79"/>
      <c r="E51" s="79"/>
      <c r="F51" s="79"/>
      <c r="G51" s="27"/>
      <c r="H51" s="27"/>
      <c r="I51" s="27"/>
      <c r="J51" s="27"/>
      <c r="K51" s="27"/>
    </row>
    <row r="52" spans="1:11" ht="4.5" customHeight="1" x14ac:dyDescent="0.25">
      <c r="A52" s="654"/>
      <c r="B52" s="654"/>
      <c r="C52" s="654"/>
      <c r="D52" s="654"/>
      <c r="E52" s="654"/>
      <c r="F52" s="654"/>
      <c r="G52" s="654"/>
      <c r="H52" s="654"/>
      <c r="I52" s="654"/>
      <c r="J52" s="654"/>
      <c r="K52" s="27"/>
    </row>
    <row r="53" spans="1:11" ht="13.5" x14ac:dyDescent="0.25">
      <c r="A53" s="334"/>
      <c r="B53" s="335"/>
      <c r="C53" s="335"/>
      <c r="D53" s="335"/>
      <c r="E53" s="335"/>
      <c r="F53" s="335"/>
      <c r="G53" s="335"/>
      <c r="H53" s="335"/>
      <c r="I53" s="335"/>
      <c r="J53" s="134" t="str">
        <f>"Version "&amp;Information!B13</f>
        <v>Version 5.9</v>
      </c>
      <c r="K53" s="27"/>
    </row>
  </sheetData>
  <sheetProtection algorithmName="SHA-512" hashValue="4GIZSGWhE9RIN7gwINjj/uNva61t27bLZ4FpJHTXKtm+6SPahWjliAFsUlMcsJy01elbyCzZ1I02JBuWUPa+6g==" saltValue="1uQbFPyOJ7tVCbhpG5+nwg==" spinCount="100000" sheet="1" formatColumns="0" selectLockedCells="1"/>
  <mergeCells count="7">
    <mergeCell ref="J24:J30"/>
    <mergeCell ref="A52:J52"/>
    <mergeCell ref="F2:J2"/>
    <mergeCell ref="A1:E1"/>
    <mergeCell ref="A11:J11"/>
    <mergeCell ref="A14:J14"/>
    <mergeCell ref="A12:J12"/>
  </mergeCells>
  <phoneticPr fontId="18" type="noConversion"/>
  <pageMargins left="0.74803149606299213" right="0.74803149606299213" top="0.98425196850393704" bottom="0.98425196850393704" header="0.51181102362204722" footer="0.51181102362204722"/>
  <pageSetup paperSize="9" scale="8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Information</vt:lpstr>
      <vt:lpstr>1. Erosion Haz + Basins</vt:lpstr>
      <vt:lpstr>2A.Type A Basins</vt:lpstr>
      <vt:lpstr>2B. Type B Basins</vt:lpstr>
      <vt:lpstr>2C. Type C Basins</vt:lpstr>
      <vt:lpstr>2D. Type D Basins</vt:lpstr>
      <vt:lpstr>3. Flow Calculations</vt:lpstr>
      <vt:lpstr>'1. Erosion Haz + Basins'!Print_Area</vt:lpstr>
      <vt:lpstr>'2A.Type A Basins'!Print_Area</vt:lpstr>
      <vt:lpstr>'2B. Type B Basins'!Print_Area</vt:lpstr>
      <vt:lpstr>'2C. Type C Basins'!Print_Area</vt:lpstr>
      <vt:lpstr>'2D. Type D Basins'!Print_Area</vt:lpstr>
      <vt:lpstr>'3. Flow Calculations'!Print_Area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Johnson;Mark Passfield</dc:creator>
  <cp:lastModifiedBy>Bill Johnson</cp:lastModifiedBy>
  <cp:lastPrinted>2018-03-02T05:10:15Z</cp:lastPrinted>
  <dcterms:created xsi:type="dcterms:W3CDTF">1999-11-02T22:16:09Z</dcterms:created>
  <dcterms:modified xsi:type="dcterms:W3CDTF">2025-02-25T04:02:27Z</dcterms:modified>
</cp:coreProperties>
</file>