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9885" windowHeight="4125" tabRatio="707" activeTab="0"/>
  </bookViews>
  <sheets>
    <sheet name="1. Erosion Haz + Basins" sheetId="1" r:id="rId1"/>
    <sheet name="2. Flow Calculations" sheetId="2" r:id="rId2"/>
    <sheet name="3. Spillways and Type C basins" sheetId="3" r:id="rId3"/>
  </sheets>
  <definedNames>
    <definedName name="_xlnm.Print_Area" localSheetId="0">'1. Erosion Haz + Basins'!$A$1:$H$54</definedName>
    <definedName name="_xlnm.Print_Area" localSheetId="1">'2. Flow Calculations'!$A$1:$J$53</definedName>
    <definedName name="_xlnm.Print_Area" localSheetId="2">'3. Spillways and Type C basins'!$A$1:$K$49</definedName>
    <definedName name="SoilLoss">'1. Erosion Haz + Basins'!$B$47</definedName>
    <definedName name="SoilLoss2">'1. Erosion Haz + Basins'!$C$47</definedName>
    <definedName name="SoilLoss3">'1. Erosion Haz + Basins'!$D$47</definedName>
    <definedName name="SoilLoss4">'1. Erosion Haz + Basins'!$E$47</definedName>
    <definedName name="SoilLoss5">'1. Erosion Haz + Basins'!$F$47</definedName>
    <definedName name="SoilLoss6">'1. Erosion Haz + Basins'!$G$47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39" authorId="0">
      <text>
        <r>
          <rPr>
            <sz val="10"/>
            <rFont val="Arial"/>
            <family val="0"/>
          </rPr>
          <t>The default is 1.3 on construction sites or anywhere the soil is hard and compact</t>
        </r>
      </text>
    </comment>
    <comment ref="F39" authorId="0">
      <text>
        <r>
          <rPr>
            <sz val="10"/>
            <rFont val="Arial"/>
            <family val="0"/>
          </rPr>
          <t>The default is 1.3 on construction sites or anywhere the soil is hard and compact</t>
        </r>
      </text>
    </comment>
    <comment ref="E39" authorId="0">
      <text>
        <r>
          <rPr>
            <sz val="10"/>
            <rFont val="Arial"/>
            <family val="0"/>
          </rPr>
          <t>The default is 1.3 on construction sites or anywhere the soil is hard and compact</t>
        </r>
      </text>
    </comment>
    <comment ref="D39" authorId="0">
      <text>
        <r>
          <rPr>
            <sz val="10"/>
            <rFont val="Arial"/>
            <family val="0"/>
          </rPr>
          <t>The default is 1.3 on construction sites or anywhere the soil is hard and compact</t>
        </r>
      </text>
    </comment>
    <comment ref="C39" authorId="0">
      <text>
        <r>
          <rPr>
            <sz val="10"/>
            <rFont val="Arial"/>
            <family val="0"/>
          </rPr>
          <t>The default is 1.3 on construction sites or anywhere the soil is hard and compact</t>
        </r>
      </text>
    </comment>
    <comment ref="B39" authorId="0">
      <text>
        <r>
          <rPr>
            <sz val="10"/>
            <rFont val="Arial"/>
            <family val="0"/>
          </rPr>
          <t>The default is 1.3 on construction sites or anywhere the soil is hard and compact</t>
        </r>
      </text>
    </comment>
    <comment ref="G40" authorId="0">
      <text>
        <r>
          <rPr>
            <sz val="10"/>
            <rFont val="Arial"/>
            <family val="0"/>
          </rPr>
          <t>The default is 1.0 on construction sites or anywhere the topsoil has been stripped, i.e. no vegetative cover and no root mass remaining</t>
        </r>
      </text>
    </comment>
    <comment ref="F40" authorId="0">
      <text>
        <r>
          <rPr>
            <sz val="10"/>
            <rFont val="Arial"/>
            <family val="0"/>
          </rPr>
          <t>The default is 1.0 on construction sites or anywhere the topsoil has been stripped, i.e. no vegetative cover and no root mass remaining</t>
        </r>
      </text>
    </comment>
    <comment ref="E40" authorId="0">
      <text>
        <r>
          <rPr>
            <sz val="10"/>
            <rFont val="Arial"/>
            <family val="0"/>
          </rPr>
          <t>The default is 1.0 on construction sites or anywhere the topsoil has been stripped, i.e. no vegetative cover and no root mass remaining</t>
        </r>
      </text>
    </comment>
    <comment ref="D40" authorId="0">
      <text>
        <r>
          <rPr>
            <sz val="10"/>
            <rFont val="Arial"/>
            <family val="0"/>
          </rPr>
          <t>The default is 1.0 on construction sites or anywhere the topsoil has been stripped, i.e. no vegetative cover and no root mass remaining</t>
        </r>
      </text>
    </comment>
    <comment ref="C40" authorId="0">
      <text>
        <r>
          <rPr>
            <sz val="10"/>
            <rFont val="Arial"/>
            <family val="0"/>
          </rPr>
          <t>The default is 1.0 on construction sites or anywhere the topsoil has been stripped, i.e. no vegetative cover and no root mass remaining</t>
        </r>
      </text>
    </comment>
    <comment ref="B40" authorId="0">
      <text>
        <r>
          <rPr>
            <sz val="10"/>
            <rFont val="Arial"/>
            <family val="0"/>
          </rPr>
          <t>The default is 1.0 on construction sites or anywhere the topsoil has been stripped, i.e. no vegetative cover and no root mass remaining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0"/>
          </rPr>
          <t>Insert rainfall intensity for storm of ARI of 100 years and time of tc</t>
        </r>
      </text>
    </comment>
    <comment ref="A1" authorId="0">
      <text>
        <r>
          <rPr>
            <sz val="10"/>
            <rFont val="Arial"/>
            <family val="0"/>
          </rPr>
          <t>Insert rainfall intensity for storm of ARI of 10 years and time of tc</t>
        </r>
      </text>
    </comment>
    <comment ref="A1" authorId="0">
      <text>
        <r>
          <rPr>
            <sz val="10"/>
            <rFont val="Arial"/>
            <family val="0"/>
          </rPr>
          <t>Insert rainfall intensity for storm of ARI of 1 year and time of tc</t>
        </r>
      </text>
    </comment>
    <comment ref="A1" authorId="0">
      <text>
        <r>
          <rPr>
            <sz val="10"/>
            <rFont val="Arial"/>
            <family val="0"/>
          </rPr>
          <t>Insert rainfall intensity for storm of ARI of 100 years and time of tc</t>
        </r>
      </text>
    </comment>
    <comment ref="A1" authorId="0">
      <text>
        <r>
          <rPr>
            <sz val="10"/>
            <rFont val="Arial"/>
            <family val="0"/>
          </rPr>
          <t>Insert rainfall intensity for storm of ARI of 20 years and time of tc</t>
        </r>
      </text>
    </comment>
    <comment ref="A1" authorId="0">
      <text>
        <r>
          <rPr>
            <sz val="10"/>
            <rFont val="Arial"/>
            <family val="0"/>
          </rPr>
          <t>Insert rainfall intensity for storm of ARI of 5 years and time of tc</t>
        </r>
      </text>
    </comment>
    <comment ref="A1" authorId="0">
      <text>
        <r>
          <rPr>
            <b/>
            <sz val="8"/>
            <rFont val="Tahoma"/>
            <family val="0"/>
          </rPr>
          <t>Table 2 of note on Design of Sediment Control Basins
or 
Fig 5.1 ARR Volume 2</t>
        </r>
      </text>
    </comment>
    <comment ref="A1" authorId="0">
      <text>
        <r>
          <rPr>
            <sz val="10"/>
            <rFont val="Arial"/>
            <family val="0"/>
          </rPr>
          <t>Insert rainfall intensity for storm of ARI of 5 years and time of tc</t>
        </r>
      </text>
    </comment>
    <comment ref="A1" authorId="0">
      <text>
        <r>
          <rPr>
            <sz val="10"/>
            <rFont val="Arial"/>
            <family val="0"/>
          </rPr>
          <t>Insert rainfall intensity for storm of ARI of 20 years and time of tc</t>
        </r>
      </text>
    </comment>
    <comment ref="A1" authorId="0">
      <text>
        <r>
          <rPr>
            <sz val="10"/>
            <rFont val="Arial"/>
            <family val="0"/>
          </rPr>
          <t>Insert rainfall intensity for storm of ARI of 50 years and time of tc</t>
        </r>
      </text>
    </comment>
  </commentList>
</comments>
</file>

<file path=xl/sharedStrings.xml><?xml version="1.0" encoding="utf-8"?>
<sst xmlns="http://schemas.openxmlformats.org/spreadsheetml/2006/main" count="182" uniqueCount="158">
  <si>
    <t>% of whole soil dispersible</t>
  </si>
  <si>
    <t xml:space="preserve">A </t>
  </si>
  <si>
    <t>C</t>
  </si>
  <si>
    <t>D</t>
  </si>
  <si>
    <t>F</t>
  </si>
  <si>
    <t xml:space="preserve">is the average rainfall intensity (mm/hr) for an ARI of "Y" years </t>
  </si>
  <si>
    <t>is the catchment area in hectares (ha)</t>
  </si>
  <si>
    <t>Peak flow is given by the Rational Formula:</t>
  </si>
  <si>
    <t>Site Location:</t>
  </si>
  <si>
    <t>Site Name:</t>
  </si>
  <si>
    <t>Soil Loss Class</t>
  </si>
  <si>
    <t>Soil Texture Group</t>
  </si>
  <si>
    <t>where:</t>
  </si>
  <si>
    <r>
      <t>F</t>
    </r>
    <r>
      <rPr>
        <vertAlign val="subscript"/>
        <sz val="10"/>
        <rFont val="Arial"/>
        <family val="2"/>
      </rPr>
      <t>y</t>
    </r>
  </si>
  <si>
    <r>
      <t>C</t>
    </r>
    <r>
      <rPr>
        <vertAlign val="subscript"/>
        <sz val="10"/>
        <rFont val="Arial"/>
        <family val="2"/>
      </rPr>
      <t>10</t>
    </r>
  </si>
  <si>
    <r>
      <t>Q</t>
    </r>
    <r>
      <rPr>
        <vertAlign val="subscript"/>
        <sz val="10"/>
        <rFont val="Arial"/>
        <family val="2"/>
      </rPr>
      <t>y</t>
    </r>
  </si>
  <si>
    <r>
      <t>I</t>
    </r>
    <r>
      <rPr>
        <vertAlign val="subscript"/>
        <sz val="10"/>
        <rFont val="Arial"/>
        <family val="2"/>
      </rPr>
      <t xml:space="preserve">y, tc </t>
    </r>
  </si>
  <si>
    <t>Area Factor</t>
  </si>
  <si>
    <t>Site area</t>
  </si>
  <si>
    <t>Total catchment area (ha)</t>
  </si>
  <si>
    <t>Disturbed catchment area (ha)</t>
  </si>
  <si>
    <t>% clay (fraction finer than 0.002 mm)</t>
  </si>
  <si>
    <t>% silt (fraction 0.002 to 0.02 mm)</t>
  </si>
  <si>
    <t>Dispersion percentage</t>
  </si>
  <si>
    <t>E.g. enter 10 for dispersion of 10%</t>
  </si>
  <si>
    <t>Rainfall data</t>
  </si>
  <si>
    <t>Design rainfall depth (percentile)</t>
  </si>
  <si>
    <t>RUSLE Factors</t>
  </si>
  <si>
    <t>Slope length (m)</t>
  </si>
  <si>
    <t>Slope gradient  (%)</t>
  </si>
  <si>
    <r>
      <t>Length/gradient (</t>
    </r>
    <r>
      <rPr>
        <i/>
        <sz val="9"/>
        <rFont val="Arial Narrow"/>
        <family val="2"/>
      </rPr>
      <t>LS</t>
    </r>
    <r>
      <rPr>
        <sz val="9"/>
        <rFont val="Arial Narrow"/>
        <family val="2"/>
      </rPr>
      <t>-factor)</t>
    </r>
  </si>
  <si>
    <r>
      <t>Rainfall erosivity (</t>
    </r>
    <r>
      <rPr>
        <i/>
        <sz val="9"/>
        <rFont val="Arial Narrow"/>
        <family val="2"/>
      </rPr>
      <t>R</t>
    </r>
    <r>
      <rPr>
        <sz val="9"/>
        <rFont val="Arial Narrow"/>
        <family val="2"/>
      </rPr>
      <t>-factor)</t>
    </r>
  </si>
  <si>
    <r>
      <t>Soil erodibility (</t>
    </r>
    <r>
      <rPr>
        <i/>
        <sz val="9"/>
        <rFont val="Arial Narrow"/>
        <family val="2"/>
      </rPr>
      <t>K</t>
    </r>
    <r>
      <rPr>
        <sz val="9"/>
        <rFont val="Arial Narrow"/>
        <family val="2"/>
      </rPr>
      <t>-factor)</t>
    </r>
  </si>
  <si>
    <r>
      <t>Erosion control practice (</t>
    </r>
    <r>
      <rPr>
        <i/>
        <sz val="9"/>
        <rFont val="Arial Narrow"/>
        <family val="2"/>
      </rPr>
      <t>P</t>
    </r>
    <r>
      <rPr>
        <sz val="9"/>
        <rFont val="Arial Narrow"/>
        <family val="2"/>
      </rPr>
      <t>-factor)</t>
    </r>
  </si>
  <si>
    <r>
      <t>Ground cover (</t>
    </r>
    <r>
      <rPr>
        <i/>
        <sz val="9"/>
        <rFont val="Arial Narrow"/>
        <family val="2"/>
      </rPr>
      <t>C</t>
    </r>
    <r>
      <rPr>
        <sz val="9"/>
        <rFont val="Arial Narrow"/>
        <family val="2"/>
      </rPr>
      <t>-factor)</t>
    </r>
  </si>
  <si>
    <t>Soil loss (t/ha/yr)</t>
  </si>
  <si>
    <r>
      <t>Soil loss (m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/ha/yr)</t>
    </r>
  </si>
  <si>
    <r>
      <t>is peak flow rate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/sec) of average recurrence interval (ARI) of "Y" years</t>
    </r>
  </si>
  <si>
    <t>and a design duration of "tc" (minutes or hours)</t>
  </si>
  <si>
    <r>
      <t>Time of concentration (t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 =</t>
    </r>
  </si>
  <si>
    <t>RUSLE LS factor calculated for a high rill/interrill ratio.</t>
  </si>
  <si>
    <t>Sediment Type (C, F or D) if known:</t>
  </si>
  <si>
    <t>IFD: 2-year, 6-hour storm (if known)</t>
  </si>
  <si>
    <t>Soil analysis (enter sediment type if known, or laboratory particle size data)</t>
  </si>
  <si>
    <t>Automatic calculation from above</t>
  </si>
  <si>
    <t>See Section 6.3.3(e). Auto-calculated</t>
  </si>
  <si>
    <t>% sand (fraction 0.02 to 2.00 mm)</t>
  </si>
  <si>
    <t>Rainfall R-factor (if known)</t>
  </si>
  <si>
    <t>Auto-filled from above</t>
  </si>
  <si>
    <t>Place an x here to halve tc</t>
  </si>
  <si>
    <t>1. Erosion Hazard and Sediment Basins</t>
  </si>
  <si>
    <t>Sub-catchment or Name of Structure</t>
  </si>
  <si>
    <t>Notes</t>
  </si>
  <si>
    <t>Enter the percentage of each soil fraction. E.g. enter 10 for 10%</t>
  </si>
  <si>
    <t>Design rainfall depth (no of days)</t>
  </si>
  <si>
    <t>x-day, y-percentile rainfall event (mm)</t>
  </si>
  <si>
    <t>Only need to enter one or the other here</t>
  </si>
  <si>
    <t>Cv (Volumetric runoff coefficient)</t>
  </si>
  <si>
    <t>From Appendix C (if known)</t>
  </si>
  <si>
    <t>See Section 6.3.4 and, particularly, Table 6.3 on pages 6-24 and 6-25.</t>
  </si>
  <si>
    <t>See Table F2, page F-4 in Appendix F</t>
  </si>
  <si>
    <t>Precinct/Stage:</t>
  </si>
  <si>
    <t>Other Details:</t>
  </si>
  <si>
    <t>Minimum is generally 2 months</t>
  </si>
  <si>
    <r>
      <t>Sediment basin storage (soil) volume (m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</si>
  <si>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r>
      <t>Sediment basin settling (water) volume (m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</si>
  <si>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r>
      <t>Sediment basin total volume (m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</si>
  <si>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t>See Table 4.2, page 4-13</t>
  </si>
  <si>
    <t>Conversion to cubic metres</t>
  </si>
  <si>
    <t>See Sections 6.3.4(i) for calculations</t>
  </si>
  <si>
    <t>2. Flow Calculations</t>
  </si>
  <si>
    <t xml:space="preserve">is the runoff coefficient (dimensionless) for ARI of 10 years. </t>
  </si>
  <si>
    <t xml:space="preserve">is a frequency factor for "Y" years.  </t>
  </si>
  <si>
    <r>
      <t>Qy = 0.00278 x C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x 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I</t>
    </r>
    <r>
      <rPr>
        <vertAlign val="subscript"/>
        <sz val="10"/>
        <rFont val="Arial"/>
        <family val="2"/>
      </rPr>
      <t>y, tc</t>
    </r>
    <r>
      <rPr>
        <sz val="10"/>
        <rFont val="Arial"/>
        <family val="0"/>
      </rPr>
      <t xml:space="preserve"> x A </t>
    </r>
  </si>
  <si>
    <r>
      <t>0.76 x (A/100)</t>
    </r>
    <r>
      <rPr>
        <vertAlign val="superscript"/>
        <sz val="10"/>
        <rFont val="Arial"/>
        <family val="2"/>
      </rPr>
      <t>0.38</t>
    </r>
    <r>
      <rPr>
        <sz val="10"/>
        <rFont val="Arial"/>
        <family val="0"/>
      </rPr>
      <t xml:space="preserve"> hrs</t>
    </r>
  </si>
  <si>
    <t>Note: For urban catchments the time of concentration should be determined by more precise calculations or reduced by a factor of 50 per cent. Place an x in the appropriate row below to automatically halve the time of concentration for that sub-catchment.</t>
  </si>
  <si>
    <t>Structure Name</t>
  </si>
  <si>
    <t>Catchment Area (ha)</t>
  </si>
  <si>
    <t>Time of concentration (tc)</t>
  </si>
  <si>
    <t>Rainfall Intensities</t>
  </si>
  <si>
    <t>1-year, tc</t>
  </si>
  <si>
    <t>5-year, tc</t>
  </si>
  <si>
    <t>10-year, tc</t>
  </si>
  <si>
    <t>20-year, tc</t>
  </si>
  <si>
    <t>50-year, tc</t>
  </si>
  <si>
    <t>100-year, tc</t>
  </si>
  <si>
    <t>C10 runoff coefficient</t>
  </si>
  <si>
    <t>Frequency Factors</t>
  </si>
  <si>
    <t>FF, 1-year</t>
  </si>
  <si>
    <t>FF, 5-year</t>
  </si>
  <si>
    <t>FF, 10-year</t>
  </si>
  <si>
    <t>FF, 20-year</t>
  </si>
  <si>
    <t>FF, 50-year</t>
  </si>
  <si>
    <t>FF, 100-year</t>
  </si>
  <si>
    <t>Flow Calculations</t>
  </si>
  <si>
    <r>
      <t>1-year, tc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/s)</t>
    </r>
  </si>
  <si>
    <r>
      <t>5-year, tc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/s)</t>
    </r>
  </si>
  <si>
    <r>
      <t>10-year, tc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/s)</t>
    </r>
  </si>
  <si>
    <r>
      <t>20-year, tc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/s)</t>
    </r>
  </si>
  <si>
    <r>
      <t>50-year, tc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/s)</t>
    </r>
  </si>
  <si>
    <r>
      <t>100-year, tc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/s)</t>
    </r>
  </si>
  <si>
    <t>Structure Details</t>
  </si>
  <si>
    <t>Name</t>
  </si>
  <si>
    <t>Can use 0.8 for a construction site</t>
  </si>
  <si>
    <t>Can use 0.95 for a construction site</t>
  </si>
  <si>
    <t>Generally always 1</t>
  </si>
  <si>
    <t>Can use 1.05 for a construction site</t>
  </si>
  <si>
    <t>Can use 1.15 for a construction site</t>
  </si>
  <si>
    <t>Can use 1.2 for a construction site</t>
  </si>
  <si>
    <t>Use AR&amp;R or Table F3, pg F-6</t>
  </si>
  <si>
    <t>Enter the relevant rainfall intensities (in mm/hr) for each of the nominated rainfall events. 
The time of concentration (tc) determines the duration of the event to be used</t>
  </si>
  <si>
    <t>Calculations and Type D/F Sediment Basin Volumes</t>
  </si>
  <si>
    <t>Storage (soil) zone design (no of months)</t>
  </si>
  <si>
    <t>NB for flow calculations on sediment basin spillways, see Worksheet 3 (if required).</t>
  </si>
  <si>
    <t>NB for sizing of Type C (coarse) sediment basins, see Worksheet 3 (if required).</t>
  </si>
  <si>
    <t>3. Sediment Basin Spillway Design</t>
  </si>
  <si>
    <t>minutes</t>
  </si>
  <si>
    <t>Place an x if disturbed catchment</t>
  </si>
  <si>
    <t>Yr</t>
  </si>
  <si>
    <t>FF</t>
  </si>
  <si>
    <t>Design ARI event (select):</t>
  </si>
  <si>
    <t>Frequency Factor</t>
  </si>
  <si>
    <t>Flow Calculation</t>
  </si>
  <si>
    <t>year, tc</t>
  </si>
  <si>
    <t>Select design ARI (years) from dropdown</t>
  </si>
  <si>
    <t>Auto-filled based on selected ARI</t>
  </si>
  <si>
    <t>Auto-calculated based on selected ARI</t>
  </si>
  <si>
    <t>Auto-filled from Worksheet 1</t>
  </si>
  <si>
    <t>Auto-calculated assuming tc is halved</t>
  </si>
  <si>
    <t>4.  Volume of Type C (Coarse) Sediment Basins</t>
  </si>
  <si>
    <r>
      <t>C</t>
    </r>
    <r>
      <rPr>
        <b/>
        <vertAlign val="subscript"/>
        <sz val="9"/>
        <rFont val="Arial Narrow"/>
        <family val="2"/>
      </rPr>
      <t>10</t>
    </r>
    <r>
      <rPr>
        <b/>
        <sz val="9"/>
        <rFont val="Arial Narrow"/>
        <family val="2"/>
      </rPr>
      <t xml:space="preserve"> runoff coefficient</t>
    </r>
  </si>
  <si>
    <t>Sediment type (C, F or D)</t>
  </si>
  <si>
    <t>Depth of settling (water zone) (m)</t>
  </si>
  <si>
    <r>
      <t>Basin Surface Area 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</si>
  <si>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t>Default is 4,100. See pg 6-12</t>
  </si>
  <si>
    <r>
      <t>Settling (water) zone volume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)</t>
    </r>
  </si>
  <si>
    <r>
      <t>Storage (soil) zone volume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)</t>
    </r>
  </si>
  <si>
    <r>
      <t>Total basin volume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)</t>
    </r>
  </si>
  <si>
    <t>Sediment Basin Design Criteria (for Type D/F basins only. Leave blank for Type C basins)</t>
  </si>
  <si>
    <t>Basin Shape</t>
  </si>
  <si>
    <t>Enter length:width ratio</t>
  </si>
  <si>
    <t>E.g. for 3:1 (L:W) enter 3.</t>
  </si>
  <si>
    <t>Length (m)</t>
  </si>
  <si>
    <t>Width (m)</t>
  </si>
  <si>
    <t>These figures should be taken as a guide only. Detailed calcs might be required.</t>
  </si>
  <si>
    <t>Auto-calculated</t>
  </si>
  <si>
    <t>Minimum is 0.6m (pg 6-12)</t>
  </si>
  <si>
    <t>Type C Basin Design Criteria</t>
  </si>
  <si>
    <t>Type C Basin Volume Calculations</t>
  </si>
  <si>
    <t>2-year, tc</t>
  </si>
  <si>
    <t>FF, 2-year</t>
  </si>
  <si>
    <t>Can use 0.85 for a construction site</t>
  </si>
  <si>
    <r>
      <t>2-year, tc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/s)</t>
    </r>
  </si>
  <si>
    <r>
      <t>Flow volume (m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/s)</t>
    </r>
  </si>
  <si>
    <t>Design rainfall event</t>
  </si>
  <si>
    <t>Choose design event from dropdown</t>
  </si>
  <si>
    <t>Calculated from IFD values above</t>
  </si>
  <si>
    <t>Rainfall Intensities (IFD Values)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</si>
</sst>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"/>
    <numFmt numFmtId="166" formatCode="0.0"/>
    <numFmt numFmtId="167" formatCode=";;;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 Narrow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vertAlign val="superscript"/>
      <sz val="9"/>
      <name val="Arial Narrow"/>
      <family val="2"/>
    </font>
    <font>
      <b/>
      <vertAlign val="subscript"/>
      <sz val="9"/>
      <name val="Arial Narrow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/>
      <right/>
      <top style="double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/>
      <right/>
      <top style="medium"/>
      <bottom style="thin"/>
    </border>
    <border>
      <left style="medium"/>
      <right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10" fontId="0" fillId="0" borderId="0">
      <alignment/>
      <protection/>
    </xf>
    <xf numFmtId="0" fontId="0" fillId="0" borderId="1">
      <alignment/>
      <protection/>
    </xf>
  </cellStyleXfs>
  <cellXfs count="4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2" xfId="0" applyFont="1" applyBorder="1" applyAlignment="1" applyProtection="1">
      <alignment horizontal="left" vertical="center"/>
      <protection/>
    </xf>
    <xf numFmtId="0" fontId="10" fillId="0" borderId="2" xfId="0" applyFont="1" applyBorder="1" applyAlignment="1" applyProtection="1">
      <alignment horizontal="centerContinuous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horizontal="left" vertical="center" wrapText="1"/>
      <protection/>
    </xf>
    <xf numFmtId="0" fontId="10" fillId="0" borderId="5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horizontal="left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6" xfId="0" applyFont="1" applyAlignment="1" applyProtection="1">
      <alignment horizontal="left" vertical="center" wrapText="1"/>
      <protection/>
    </xf>
    <xf numFmtId="1" fontId="10" fillId="0" borderId="7" xfId="0" applyFont="1" applyAlignment="1" applyProtection="1">
      <alignment horizontal="center" vertical="center" wrapText="1"/>
      <protection/>
    </xf>
    <xf numFmtId="1" fontId="10" fillId="0" borderId="8" xfId="0" applyFont="1" applyAlignment="1" applyProtection="1">
      <alignment horizontal="center" vertical="center" wrapText="1"/>
      <protection/>
    </xf>
    <xf numFmtId="0" fontId="10" fillId="0" borderId="7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0" fillId="0" borderId="8" xfId="0" applyFont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6" fillId="0" borderId="0" xfId="0" applyBorder="1" applyAlignment="1">
      <alignment horizontal="center" vertical="center" wrapText="1"/>
    </xf>
    <xf numFmtId="0" fontId="10" fillId="0" borderId="9" xfId="0" applyFont="1" applyBorder="1" applyAlignment="1" applyProtection="1">
      <alignment horizontal="left" vertical="center" wrapText="1"/>
      <protection/>
    </xf>
    <xf numFmtId="1" fontId="10" fillId="0" borderId="10" xfId="0" applyFont="1" applyBorder="1" applyAlignment="1" applyProtection="1">
      <alignment horizontal="center" vertical="center" wrapText="1"/>
      <protection/>
    </xf>
    <xf numFmtId="1" fontId="10" fillId="0" borderId="11" xfId="0" applyFont="1" applyBorder="1" applyAlignment="1" applyProtection="1">
      <alignment horizontal="center" vertical="center" wrapText="1"/>
      <protection/>
    </xf>
    <xf numFmtId="1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1" fontId="10" fillId="0" borderId="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2" fontId="10" fillId="0" borderId="14" xfId="0" applyNumberFormat="1" applyFont="1" applyBorder="1" applyAlignment="1" applyProtection="1">
      <alignment horizontal="center" vertical="center" wrapText="1"/>
      <protection hidden="1"/>
    </xf>
    <xf numFmtId="2" fontId="10" fillId="0" borderId="7" xfId="0" applyNumberFormat="1" applyFont="1" applyBorder="1" applyAlignment="1" applyProtection="1">
      <alignment horizontal="center" vertical="center" wrapText="1"/>
      <protection hidden="1"/>
    </xf>
    <xf numFmtId="2" fontId="10" fillId="0" borderId="8" xfId="0" applyNumberFormat="1" applyFont="1" applyBorder="1" applyAlignment="1" applyProtection="1">
      <alignment horizontal="center" vertical="center" wrapText="1"/>
      <protection hidden="1"/>
    </xf>
    <xf numFmtId="0" fontId="10" fillId="0" borderId="15" xfId="0" applyFont="1" applyAlignment="1" applyProtection="1">
      <alignment horizontal="right" vertical="center" wrapText="1"/>
      <protection/>
    </xf>
    <xf numFmtId="0" fontId="10" fillId="0" borderId="6" xfId="0" applyFont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6" fillId="2" borderId="18" xfId="0" applyFont="1" applyFill="1" applyAlignment="1" applyProtection="1">
      <alignment horizontal="center" vertical="center" wrapText="1"/>
      <protection locked="0"/>
    </xf>
    <xf numFmtId="0" fontId="16" fillId="2" borderId="11" xfId="0" applyFont="1" applyFill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Alignment="1" applyProtection="1">
      <alignment horizontal="center" vertical="center" wrapText="1"/>
      <protection locked="0"/>
    </xf>
    <xf numFmtId="0" fontId="16" fillId="2" borderId="21" xfId="0" applyFont="1" applyFill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Alignment="1" applyProtection="1">
      <alignment horizontal="center" vertical="center" wrapText="1"/>
      <protection locked="0"/>
    </xf>
    <xf numFmtId="0" fontId="10" fillId="2" borderId="7" xfId="0" applyFont="1" applyFill="1" applyAlignment="1" applyProtection="1">
      <alignment horizontal="center" vertical="center" wrapText="1"/>
      <protection locked="0"/>
    </xf>
    <xf numFmtId="166" fontId="10" fillId="2" borderId="7" xfId="0" applyFont="1" applyFill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Alignment="1" applyProtection="1">
      <alignment horizontal="center" vertical="center" wrapText="1"/>
      <protection locked="0"/>
    </xf>
    <xf numFmtId="0" fontId="6" fillId="2" borderId="28" xfId="0" applyFont="1" applyFill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/>
    </xf>
    <xf numFmtId="0" fontId="10" fillId="0" borderId="32" xfId="0" applyFont="1" applyBorder="1" applyAlignment="1" applyProtection="1">
      <alignment horizontal="left" vertical="top" wrapText="1"/>
      <protection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horizontal="left" vertical="top" wrapText="1"/>
      <protection/>
    </xf>
    <xf numFmtId="0" fontId="11" fillId="0" borderId="36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center" vertical="top" wrapText="1"/>
      <protection/>
    </xf>
    <xf numFmtId="0" fontId="10" fillId="0" borderId="38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horizontal="center" vertical="top" wrapText="1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11" fillId="0" borderId="6" xfId="0" applyFont="1" applyBorder="1" applyAlignment="1" applyProtection="1">
      <alignment horizontal="right" vertical="top" wrapText="1"/>
      <protection/>
    </xf>
    <xf numFmtId="0" fontId="11" fillId="0" borderId="36" xfId="0" applyFont="1" applyBorder="1" applyAlignment="1" applyProtection="1">
      <alignment horizontal="right" vertical="top" wrapText="1"/>
      <protection/>
    </xf>
    <xf numFmtId="0" fontId="11" fillId="0" borderId="16" xfId="0" applyFont="1" applyBorder="1" applyAlignment="1" applyProtection="1">
      <alignment horizontal="left" vertical="top"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11" fillId="0" borderId="9" xfId="0" applyFont="1" applyBorder="1" applyAlignment="1" applyProtection="1">
      <alignment horizontal="left" vertical="top" wrapText="1"/>
      <protection/>
    </xf>
    <xf numFmtId="0" fontId="10" fillId="0" borderId="9" xfId="0" applyFont="1" applyBorder="1" applyAlignment="1" applyProtection="1">
      <alignment horizontal="center" vertical="top" wrapText="1"/>
      <protection/>
    </xf>
    <xf numFmtId="0" fontId="11" fillId="0" borderId="4" xfId="0" applyFont="1" applyBorder="1" applyAlignment="1" applyProtection="1">
      <alignment horizontal="right" vertical="top" wrapText="1"/>
      <protection/>
    </xf>
    <xf numFmtId="0" fontId="11" fillId="0" borderId="5" xfId="0" applyFont="1" applyBorder="1" applyAlignment="1" applyProtection="1">
      <alignment horizontal="right" vertical="top" wrapText="1"/>
      <protection/>
    </xf>
    <xf numFmtId="0" fontId="10" fillId="0" borderId="33" xfId="0" applyFont="1" applyBorder="1" applyAlignment="1" applyProtection="1">
      <alignment horizontal="center" vertical="top" wrapText="1"/>
      <protection/>
    </xf>
    <xf numFmtId="0" fontId="10" fillId="0" borderId="39" xfId="0" applyFont="1" applyBorder="1" applyAlignment="1" applyProtection="1">
      <alignment horizontal="center" vertical="top" wrapText="1"/>
      <protection/>
    </xf>
    <xf numFmtId="0" fontId="10" fillId="0" borderId="40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/>
    </xf>
    <xf numFmtId="0" fontId="10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10" fillId="0" borderId="7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43" xfId="0" applyFont="1" applyBorder="1" applyAlignment="1">
      <alignment horizontal="right"/>
    </xf>
    <xf numFmtId="0" fontId="11" fillId="0" borderId="44" xfId="0" applyFont="1" applyBorder="1" applyAlignment="1" applyProtection="1">
      <alignment horizontal="left" vertical="top" wrapText="1"/>
      <protection/>
    </xf>
    <xf numFmtId="0" fontId="11" fillId="0" borderId="45" xfId="0" applyFont="1" applyBorder="1" applyAlignment="1" applyProtection="1">
      <alignment horizontal="left" vertical="top" wrapText="1"/>
      <protection/>
    </xf>
    <xf numFmtId="0" fontId="11" fillId="0" borderId="3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4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8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10" fillId="0" borderId="21" xfId="0" applyFont="1" applyBorder="1" applyAlignment="1" applyProtection="1">
      <alignment horizontal="center" wrapText="1"/>
      <protection/>
    </xf>
    <xf numFmtId="0" fontId="10" fillId="0" borderId="38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1" fillId="0" borderId="48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2" borderId="50" xfId="0" applyFont="1" applyFill="1" applyBorder="1" applyAlignment="1" applyProtection="1">
      <alignment horizontal="center" vertical="center" wrapText="1"/>
      <protection locked="0"/>
    </xf>
    <xf numFmtId="0" fontId="10" fillId="2" borderId="51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0" fillId="2" borderId="23" xfId="0" applyFont="1" applyFill="1" applyBorder="1" applyAlignment="1" applyProtection="1">
      <alignment horizontal="center" vertical="top" wrapText="1"/>
      <protection locked="0"/>
    </xf>
    <xf numFmtId="0" fontId="10" fillId="2" borderId="24" xfId="0" applyFont="1" applyFill="1" applyBorder="1" applyAlignment="1" applyProtection="1">
      <alignment horizontal="center" vertical="top" wrapText="1"/>
      <protection locked="0"/>
    </xf>
    <xf numFmtId="0" fontId="10" fillId="2" borderId="46" xfId="0" applyFont="1" applyFill="1" applyBorder="1" applyAlignment="1" applyProtection="1">
      <alignment horizontal="center" vertical="top" wrapText="1"/>
      <protection locked="0"/>
    </xf>
    <xf numFmtId="0" fontId="10" fillId="2" borderId="41" xfId="0" applyFont="1" applyFill="1" applyBorder="1" applyAlignment="1" applyProtection="1">
      <alignment horizontal="center" vertical="top" wrapText="1"/>
      <protection locked="0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10" fillId="2" borderId="42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8" xfId="0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0" fillId="2" borderId="12" xfId="0" applyFont="1" applyFill="1" applyBorder="1" applyAlignment="1" applyProtection="1">
      <alignment horizontal="center" vertical="top" wrapText="1"/>
      <protection locked="0"/>
    </xf>
    <xf numFmtId="0" fontId="10" fillId="2" borderId="20" xfId="0" applyFont="1" applyFill="1" applyBorder="1" applyAlignment="1" applyProtection="1">
      <alignment horizontal="center" vertical="top" wrapText="1"/>
      <protection locked="0"/>
    </xf>
    <xf numFmtId="0" fontId="10" fillId="2" borderId="21" xfId="0" applyFont="1" applyFill="1" applyBorder="1" applyAlignment="1" applyProtection="1">
      <alignment horizontal="center" vertical="top" wrapText="1"/>
      <protection locked="0"/>
    </xf>
    <xf numFmtId="0" fontId="10" fillId="2" borderId="38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center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alignment horizontal="center"/>
      <protection locked="0"/>
    </xf>
    <xf numFmtId="0" fontId="10" fillId="2" borderId="46" xfId="0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center"/>
      <protection locked="0"/>
    </xf>
    <xf numFmtId="0" fontId="10" fillId="2" borderId="3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 wrapText="1"/>
      <protection locked="0"/>
    </xf>
    <xf numFmtId="0" fontId="10" fillId="2" borderId="7" xfId="0" applyFont="1" applyFill="1" applyBorder="1" applyAlignment="1" applyProtection="1">
      <alignment horizontal="center" wrapText="1"/>
      <protection locked="0"/>
    </xf>
    <xf numFmtId="0" fontId="10" fillId="2" borderId="8" xfId="0" applyFont="1" applyFill="1" applyBorder="1" applyAlignment="1" applyProtection="1">
      <alignment horizontal="center" wrapText="1"/>
      <protection locked="0"/>
    </xf>
    <xf numFmtId="0" fontId="10" fillId="2" borderId="20" xfId="0" applyFont="1" applyFill="1" applyBorder="1" applyAlignment="1" applyProtection="1">
      <alignment horizontal="center" wrapText="1"/>
      <protection locked="0"/>
    </xf>
    <xf numFmtId="0" fontId="10" fillId="2" borderId="21" xfId="0" applyFont="1" applyFill="1" applyBorder="1" applyAlignment="1" applyProtection="1">
      <alignment horizontal="center" wrapText="1"/>
      <protection locked="0"/>
    </xf>
    <xf numFmtId="0" fontId="10" fillId="2" borderId="38" xfId="0" applyFont="1" applyFill="1" applyBorder="1" applyAlignment="1" applyProtection="1">
      <alignment horizontal="center" wrapText="1"/>
      <protection locked="0"/>
    </xf>
    <xf numFmtId="0" fontId="10" fillId="2" borderId="18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horizontal="center" wrapText="1"/>
      <protection locked="0"/>
    </xf>
    <xf numFmtId="0" fontId="10" fillId="2" borderId="12" xfId="0" applyFont="1" applyFill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top" wrapText="1"/>
      <protection/>
    </xf>
    <xf numFmtId="0" fontId="10" fillId="0" borderId="30" xfId="0" applyFont="1" applyBorder="1" applyAlignment="1" applyProtection="1">
      <alignment horizontal="center" vertical="top" wrapText="1"/>
      <protection/>
    </xf>
    <xf numFmtId="0" fontId="10" fillId="0" borderId="26" xfId="0" applyFont="1" applyBorder="1" applyAlignment="1" applyProtection="1">
      <alignment horizontal="center" vertical="top" wrapText="1"/>
      <protection/>
    </xf>
    <xf numFmtId="0" fontId="5" fillId="0" borderId="52" xfId="0" applyFont="1" applyBorder="1" applyAlignment="1" applyProtection="1">
      <alignment horizontal="center" vertical="top" wrapText="1"/>
      <protection/>
    </xf>
    <xf numFmtId="0" fontId="10" fillId="0" borderId="50" xfId="0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top" wrapText="1"/>
      <protection/>
    </xf>
    <xf numFmtId="0" fontId="10" fillId="0" borderId="36" xfId="0" applyFont="1" applyBorder="1" applyAlignment="1" applyProtection="1">
      <alignment horizontal="center" vertical="top" wrapText="1"/>
      <protection locked="0"/>
    </xf>
    <xf numFmtId="0" fontId="10" fillId="0" borderId="37" xfId="0" applyFont="1" applyBorder="1" applyAlignment="1" applyProtection="1">
      <alignment horizontal="center" vertical="top" wrapText="1"/>
      <protection/>
    </xf>
    <xf numFmtId="0" fontId="10" fillId="0" borderId="6" xfId="0" applyFont="1" applyBorder="1" applyAlignment="1" applyProtection="1">
      <alignment horizontal="center" vertical="top" wrapText="1"/>
      <protection locked="0"/>
    </xf>
    <xf numFmtId="0" fontId="10" fillId="0" borderId="53" xfId="0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 applyProtection="1">
      <alignment horizontal="center" vertical="top" wrapText="1"/>
      <protection locked="0"/>
    </xf>
    <xf numFmtId="0" fontId="11" fillId="0" borderId="54" xfId="0" applyFont="1" applyBorder="1" applyAlignment="1" applyProtection="1">
      <alignment horizontal="right" vertical="top" wrapText="1"/>
      <protection/>
    </xf>
    <xf numFmtId="0" fontId="10" fillId="2" borderId="55" xfId="0" applyFont="1" applyFill="1" applyBorder="1" applyAlignment="1" applyProtection="1">
      <alignment horizontal="center" vertical="top" wrapText="1"/>
      <protection locked="0"/>
    </xf>
    <xf numFmtId="0" fontId="10" fillId="2" borderId="37" xfId="0" applyFont="1" applyFill="1" applyBorder="1" applyAlignment="1" applyProtection="1">
      <alignment horizontal="center" vertical="top" wrapText="1"/>
      <protection locked="0"/>
    </xf>
    <xf numFmtId="0" fontId="10" fillId="2" borderId="56" xfId="0" applyFont="1" applyFill="1" applyBorder="1" applyAlignment="1" applyProtection="1">
      <alignment horizontal="center" vertical="top" wrapText="1"/>
      <protection locked="0"/>
    </xf>
    <xf numFmtId="0" fontId="11" fillId="0" borderId="57" xfId="0" applyFont="1" applyBorder="1" applyAlignment="1" applyProtection="1">
      <alignment horizontal="right" vertical="top" wrapText="1"/>
      <protection/>
    </xf>
    <xf numFmtId="0" fontId="11" fillId="0" borderId="55" xfId="0" applyFont="1" applyBorder="1" applyAlignment="1">
      <alignment horizontal="right"/>
    </xf>
    <xf numFmtId="0" fontId="11" fillId="0" borderId="56" xfId="0" applyFont="1" applyBorder="1" applyAlignment="1" applyProtection="1">
      <alignment horizontal="left" vertical="top" wrapText="1"/>
      <protection/>
    </xf>
    <xf numFmtId="0" fontId="10" fillId="2" borderId="41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42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  <protection/>
    </xf>
    <xf numFmtId="0" fontId="10" fillId="0" borderId="45" xfId="0" applyFont="1" applyBorder="1" applyAlignment="1" applyProtection="1">
      <alignment horizontal="center" wrapText="1"/>
      <protection/>
    </xf>
    <xf numFmtId="0" fontId="10" fillId="0" borderId="37" xfId="0" applyFont="1" applyBorder="1" applyAlignment="1" applyProtection="1">
      <alignment horizontal="center" wrapText="1"/>
      <protection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45" xfId="0" applyFont="1" applyFill="1" applyBorder="1" applyAlignment="1" applyProtection="1">
      <alignment horizontal="center"/>
      <protection locked="0"/>
    </xf>
    <xf numFmtId="0" fontId="10" fillId="2" borderId="37" xfId="0" applyFont="1" applyFill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left" vertical="center" wrapText="1"/>
      <protection/>
    </xf>
    <xf numFmtId="0" fontId="0" fillId="0" borderId="59" xfId="0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0" fillId="0" borderId="62" xfId="0" applyBorder="1" applyAlignment="1" applyProtection="1">
      <alignment horizontal="left" vertical="center" wrapText="1"/>
      <protection/>
    </xf>
    <xf numFmtId="0" fontId="0" fillId="0" borderId="63" xfId="0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0" fillId="0" borderId="62" xfId="0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4" xfId="0" applyFont="1" applyBorder="1" applyAlignment="1" applyProtection="1">
      <alignment horizontal="left" vertical="top" wrapText="1"/>
      <protection/>
    </xf>
    <xf numFmtId="0" fontId="10" fillId="0" borderId="5" xfId="0" applyFont="1" applyBorder="1" applyAlignment="1" applyProtection="1">
      <alignment horizontal="left" vertical="top" wrapText="1"/>
      <protection/>
    </xf>
    <xf numFmtId="0" fontId="10" fillId="0" borderId="54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30" xfId="0" applyFont="1" applyBorder="1" applyAlignment="1" applyProtection="1">
      <alignment horizontal="left" vertical="top" wrapText="1"/>
      <protection/>
    </xf>
    <xf numFmtId="0" fontId="5" fillId="0" borderId="65" xfId="0" applyFont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67" xfId="0" applyFont="1" applyBorder="1" applyAlignment="1" applyProtection="1">
      <alignment horizontal="left" vertical="center" wrapText="1"/>
      <protection/>
    </xf>
    <xf numFmtId="0" fontId="0" fillId="0" borderId="30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10" fillId="0" borderId="6" xfId="0" applyFont="1" applyAlignment="1">
      <alignment horizontal="left" vertical="center" wrapText="1"/>
    </xf>
    <xf numFmtId="0" fontId="10" fillId="0" borderId="6" xfId="0" applyFont="1" applyAlignment="1" applyProtection="1">
      <alignment horizontal="left" vertical="center"/>
      <protection/>
    </xf>
    <xf numFmtId="0" fontId="5" fillId="0" borderId="16" xfId="0" applyFont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15" xfId="0" applyFont="1" applyAlignment="1">
      <alignment horizontal="center" vertical="center" wrapText="1"/>
    </xf>
    <xf numFmtId="0" fontId="0" fillId="0" borderId="69" xfId="0" applyAlignment="1">
      <alignment horizontal="center" vertical="center" wrapText="1"/>
    </xf>
    <xf numFmtId="0" fontId="5" fillId="0" borderId="16" xfId="0" applyFont="1" applyAlignment="1" applyProtection="1">
      <alignment horizontal="center" vertical="center" wrapText="1"/>
      <protection/>
    </xf>
    <xf numFmtId="0" fontId="0" fillId="0" borderId="70" xfId="0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Border="1" applyAlignment="1" applyProtection="1">
      <alignment wrapText="1"/>
      <protection locked="0"/>
    </xf>
    <xf numFmtId="0" fontId="5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5" fillId="0" borderId="0" xfId="0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54" xfId="0" applyFont="1" applyBorder="1" applyAlignment="1" applyProtection="1">
      <alignment horizontal="center" vertical="top" wrapText="1"/>
      <protection/>
    </xf>
    <xf numFmtId="0" fontId="10" fillId="0" borderId="64" xfId="0" applyFont="1" applyBorder="1" applyAlignment="1" applyProtection="1">
      <alignment horizontal="center" vertical="top" wrapText="1"/>
      <protection/>
    </xf>
    <xf numFmtId="0" fontId="10" fillId="0" borderId="32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0" fillId="0" borderId="71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center" wrapText="1"/>
      <protection/>
    </xf>
    <xf numFmtId="0" fontId="11" fillId="0" borderId="14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7" xfId="0" applyFont="1" applyBorder="1" applyAlignment="1" applyProtection="1">
      <alignment horizontal="center" wrapText="1"/>
      <protection/>
    </xf>
    <xf numFmtId="0" fontId="10" fillId="0" borderId="8" xfId="0" applyFont="1" applyBorder="1" applyAlignment="1" applyProtection="1">
      <alignment horizontal="center" wrapText="1"/>
      <protection/>
    </xf>
    <xf numFmtId="0" fontId="10" fillId="0" borderId="5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0" fillId="0" borderId="20" xfId="0" applyFont="1" applyBorder="1" applyAlignment="1" applyProtection="1">
      <alignment horizontal="center" wrapText="1"/>
      <protection/>
    </xf>
    <xf numFmtId="0" fontId="10" fillId="0" borderId="21" xfId="0" applyFont="1" applyBorder="1" applyAlignment="1" applyProtection="1">
      <alignment horizontal="center" wrapText="1"/>
      <protection/>
    </xf>
    <xf numFmtId="0" fontId="10" fillId="0" borderId="38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10" fillId="0" borderId="4" xfId="0" applyFont="1" applyBorder="1" applyAlignment="1" applyProtection="1">
      <alignment horizontal="center" wrapText="1"/>
      <protection/>
    </xf>
    <xf numFmtId="0" fontId="10" fillId="0" borderId="45" xfId="0" applyFont="1" applyBorder="1" applyAlignment="1" applyProtection="1">
      <alignment horizontal="center" wrapText="1"/>
      <protection/>
    </xf>
    <xf numFmtId="0" fontId="10" fillId="0" borderId="39" xfId="0" applyFont="1" applyBorder="1" applyAlignment="1" applyProtection="1">
      <alignment horizontal="center" wrapText="1"/>
      <protection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0" fillId="0" borderId="77" xfId="0" applyFont="1" applyBorder="1" applyAlignment="1" applyProtection="1">
      <alignment horizontal="center" wrapText="1"/>
      <protection/>
    </xf>
    <xf numFmtId="0" fontId="10" fillId="0" borderId="78" xfId="0" applyFont="1" applyBorder="1" applyAlignment="1" applyProtection="1">
      <alignment horizontal="center" wrapText="1"/>
      <protection/>
    </xf>
    <xf numFmtId="0" fontId="11" fillId="0" borderId="18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0" fillId="0" borderId="18" xfId="0" applyFont="1" applyBorder="1" applyAlignment="1" applyProtection="1">
      <alignment horizontal="center" wrapText="1"/>
      <protection/>
    </xf>
    <xf numFmtId="0" fontId="11" fillId="0" borderId="74" xfId="0" applyFont="1" applyBorder="1" applyAlignment="1" applyProtection="1">
      <alignment horizontal="left" vertical="top" wrapText="1"/>
      <protection/>
    </xf>
    <xf numFmtId="0" fontId="11" fillId="0" borderId="75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left"/>
    </xf>
    <xf numFmtId="0" fontId="11" fillId="0" borderId="74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5" fillId="0" borderId="61" xfId="0" applyFont="1" applyBorder="1" applyAlignment="1" applyProtection="1">
      <alignment horizontal="left" vertical="top" wrapText="1"/>
      <protection/>
    </xf>
    <xf numFmtId="0" fontId="5" fillId="0" borderId="62" xfId="0" applyFont="1" applyBorder="1" applyAlignment="1" applyProtection="1">
      <alignment horizontal="left" vertical="top" wrapText="1"/>
      <protection/>
    </xf>
    <xf numFmtId="0" fontId="5" fillId="0" borderId="63" xfId="0" applyFont="1" applyBorder="1" applyAlignment="1" applyProtection="1">
      <alignment horizontal="left" vertical="top" wrapText="1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75" xfId="0" applyFont="1" applyBorder="1" applyAlignment="1" applyProtection="1">
      <alignment horizontal="left"/>
      <protection/>
    </xf>
    <xf numFmtId="0" fontId="10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1" fillId="0" borderId="60" xfId="0" applyFont="1" applyBorder="1" applyAlignment="1">
      <alignment horizontal="left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0" fillId="0" borderId="5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1" fillId="0" borderId="41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77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2"/>
  <sheetViews>
    <sheetView showZeros="0" tabSelected="1" view="pageBreakPreview" zoomScale="115" zoomScaleSheetLayoutView="115" workbookViewId="0" topLeftCell="A1">
      <selection activeCell="A1" sqref="A1:H1"/>
    </sheetView>
  </sheetViews>
  <sheetFormatPr defaultColWidth="9.140625" defaultRowHeight="12.75"/>
  <cols>
    <col min="1" max="1" width="27.7109375" style="1" customWidth="1"/>
    <col min="2" max="7" width="5.8515625" style="0" customWidth="1"/>
    <col min="8" max="8" width="24.7109375" style="0" customWidth="1"/>
  </cols>
  <sheetData>
    <row r="1" spans="1:8" ht="18.75" customHeight="1">
      <c r="A1" s="332" t="s">
        <v>50</v>
      </c>
      <c r="B1" s="333"/>
      <c r="C1" s="333"/>
      <c r="D1" s="333"/>
      <c r="E1" s="333"/>
      <c r="F1" s="333"/>
      <c r="G1" s="333"/>
      <c r="H1" s="334"/>
    </row>
    <row r="2" spans="1:8" ht="6" customHeight="1">
      <c r="A2" s="335"/>
      <c r="B2" s="336"/>
      <c r="C2" s="336"/>
      <c r="D2" s="336"/>
      <c r="E2" s="336"/>
      <c r="F2" s="336"/>
      <c r="G2" s="336"/>
      <c r="H2" s="337"/>
    </row>
    <row r="3" spans="1:8" ht="13.5" customHeight="1">
      <c r="A3" s="331" t="s">
        <v>9</v>
      </c>
      <c r="B3" s="321"/>
      <c r="C3" s="322"/>
      <c r="D3" s="322"/>
      <c r="E3" s="322"/>
      <c r="F3" s="322"/>
      <c r="G3" s="322"/>
      <c r="H3" s="323"/>
    </row>
    <row r="4" spans="1:8" ht="8.25" customHeight="1">
      <c r="A4" s="331"/>
      <c r="B4" s="324"/>
      <c r="C4" s="325"/>
      <c r="D4" s="325"/>
      <c r="E4" s="325"/>
      <c r="F4" s="325"/>
      <c r="G4" s="325"/>
      <c r="H4" s="326"/>
    </row>
    <row r="5" spans="1:8" ht="13.5" customHeight="1">
      <c r="A5" s="331" t="s">
        <v>8</v>
      </c>
      <c r="B5" s="321"/>
      <c r="C5" s="322"/>
      <c r="D5" s="322"/>
      <c r="E5" s="322"/>
      <c r="F5" s="322"/>
      <c r="G5" s="322"/>
      <c r="H5" s="323"/>
    </row>
    <row r="6" spans="1:8" ht="9.75" customHeight="1">
      <c r="A6" s="331"/>
      <c r="B6" s="324"/>
      <c r="C6" s="325"/>
      <c r="D6" s="325"/>
      <c r="E6" s="325"/>
      <c r="F6" s="325"/>
      <c r="G6" s="325"/>
      <c r="H6" s="326"/>
    </row>
    <row r="7" spans="1:8" ht="13.5" customHeight="1">
      <c r="A7" s="329" t="s">
        <v>61</v>
      </c>
      <c r="B7" s="321"/>
      <c r="C7" s="322"/>
      <c r="D7" s="322"/>
      <c r="E7" s="322"/>
      <c r="F7" s="322"/>
      <c r="G7" s="322"/>
      <c r="H7" s="323"/>
    </row>
    <row r="8" spans="1:8" ht="9" customHeight="1">
      <c r="A8" s="331"/>
      <c r="B8" s="324"/>
      <c r="C8" s="325"/>
      <c r="D8" s="325"/>
      <c r="E8" s="325"/>
      <c r="F8" s="325"/>
      <c r="G8" s="325"/>
      <c r="H8" s="326"/>
    </row>
    <row r="9" spans="1:8" ht="13.5" customHeight="1">
      <c r="A9" s="329" t="s">
        <v>62</v>
      </c>
      <c r="B9" s="327"/>
      <c r="C9" s="328"/>
      <c r="D9" s="328"/>
      <c r="E9" s="328"/>
      <c r="F9" s="328"/>
      <c r="G9" s="328"/>
      <c r="H9" s="328"/>
    </row>
    <row r="10" spans="1:8" ht="11.25" customHeight="1">
      <c r="A10" s="330"/>
      <c r="B10" s="328"/>
      <c r="C10" s="328"/>
      <c r="D10" s="328"/>
      <c r="E10" s="328"/>
      <c r="F10" s="328"/>
      <c r="G10" s="328"/>
      <c r="H10" s="328"/>
    </row>
    <row r="11" spans="1:8" ht="6.75" customHeight="1" thickBot="1">
      <c r="A11" s="330"/>
      <c r="B11" s="328"/>
      <c r="C11" s="328"/>
      <c r="D11" s="328"/>
      <c r="E11" s="328"/>
      <c r="F11" s="328"/>
      <c r="G11" s="328"/>
      <c r="H11" s="328"/>
    </row>
    <row r="12" spans="1:8" ht="13.5" customHeight="1" thickBot="1">
      <c r="A12" s="318" t="s">
        <v>18</v>
      </c>
      <c r="B12" s="316" t="s">
        <v>51</v>
      </c>
      <c r="C12" s="317"/>
      <c r="D12" s="317"/>
      <c r="E12" s="317"/>
      <c r="F12" s="317"/>
      <c r="G12" s="317"/>
      <c r="H12" s="314" t="s">
        <v>52</v>
      </c>
    </row>
    <row r="13" spans="1:8" ht="13.5" customHeight="1" thickBot="1">
      <c r="A13" s="319"/>
      <c r="B13" s="73"/>
      <c r="C13" s="74"/>
      <c r="D13" s="74"/>
      <c r="E13" s="75"/>
      <c r="F13" s="75"/>
      <c r="G13" s="75"/>
      <c r="H13" s="315"/>
    </row>
    <row r="14" spans="1:9" ht="13.5" customHeight="1">
      <c r="A14" s="296" t="s">
        <v>19</v>
      </c>
      <c r="B14" s="50"/>
      <c r="C14" s="51"/>
      <c r="D14" s="51"/>
      <c r="E14" s="51"/>
      <c r="F14" s="51"/>
      <c r="G14" s="52"/>
      <c r="H14" s="320"/>
      <c r="I14" s="4"/>
    </row>
    <row r="15" spans="1:9" ht="13.5" customHeight="1" thickBot="1">
      <c r="A15" s="291" t="s">
        <v>20</v>
      </c>
      <c r="B15" s="53"/>
      <c r="C15" s="54"/>
      <c r="D15" s="54"/>
      <c r="E15" s="54"/>
      <c r="F15" s="54"/>
      <c r="G15" s="55"/>
      <c r="H15" s="290"/>
      <c r="I15" s="4"/>
    </row>
    <row r="16" spans="1:8" ht="14.25" customHeight="1">
      <c r="A16" s="2"/>
      <c r="B16" s="3" t="s">
        <v>2</v>
      </c>
      <c r="C16" s="3" t="s">
        <v>4</v>
      </c>
      <c r="D16" s="3" t="s">
        <v>3</v>
      </c>
      <c r="E16" s="1"/>
      <c r="F16" s="1"/>
      <c r="G16" s="1"/>
      <c r="H16" s="31"/>
    </row>
    <row r="17" spans="1:9" ht="13.5" customHeight="1" thickBot="1">
      <c r="A17" s="292" t="s">
        <v>43</v>
      </c>
      <c r="B17" s="293"/>
      <c r="C17" s="293"/>
      <c r="D17" s="293"/>
      <c r="E17" s="293"/>
      <c r="F17" s="293"/>
      <c r="G17" s="293"/>
      <c r="H17" s="293"/>
      <c r="I17" s="4"/>
    </row>
    <row r="18" spans="1:9" ht="27.75" thickBot="1">
      <c r="A18" s="45" t="s">
        <v>41</v>
      </c>
      <c r="B18" s="56"/>
      <c r="C18" s="57"/>
      <c r="D18" s="57"/>
      <c r="E18" s="57"/>
      <c r="F18" s="57"/>
      <c r="G18" s="58"/>
      <c r="H18" s="46" t="s">
        <v>58</v>
      </c>
      <c r="I18" s="4"/>
    </row>
    <row r="19" spans="1:8" ht="13.5" customHeight="1">
      <c r="A19" s="43" t="s">
        <v>46</v>
      </c>
      <c r="B19" s="59"/>
      <c r="C19" s="59"/>
      <c r="D19" s="59"/>
      <c r="E19" s="59"/>
      <c r="F19" s="59"/>
      <c r="G19" s="59"/>
      <c r="H19" s="299" t="s">
        <v>53</v>
      </c>
    </row>
    <row r="20" spans="1:8" ht="13.5" customHeight="1">
      <c r="A20" s="44" t="s">
        <v>22</v>
      </c>
      <c r="B20" s="60"/>
      <c r="C20" s="60"/>
      <c r="D20" s="60"/>
      <c r="E20" s="60"/>
      <c r="F20" s="60"/>
      <c r="G20" s="60"/>
      <c r="H20" s="307"/>
    </row>
    <row r="21" spans="1:8" ht="13.5" customHeight="1">
      <c r="A21" s="44" t="s">
        <v>21</v>
      </c>
      <c r="B21" s="60"/>
      <c r="C21" s="60"/>
      <c r="D21" s="60"/>
      <c r="E21" s="60"/>
      <c r="F21" s="60"/>
      <c r="G21" s="60"/>
      <c r="H21" s="308"/>
    </row>
    <row r="22" spans="1:8" ht="13.5" customHeight="1">
      <c r="A22" s="44" t="s">
        <v>23</v>
      </c>
      <c r="B22" s="61"/>
      <c r="C22" s="61"/>
      <c r="D22" s="61"/>
      <c r="E22" s="61"/>
      <c r="F22" s="61"/>
      <c r="G22" s="61"/>
      <c r="H22" s="312" t="s">
        <v>24</v>
      </c>
    </row>
    <row r="23" spans="1:8" ht="13.5" customHeight="1">
      <c r="A23" s="44" t="s">
        <v>0</v>
      </c>
      <c r="B23" s="19">
        <f aca="true" t="shared" si="0" ref="B23:G23">(0.5*B20+B21)*B22/100</f>
        <v>0</v>
      </c>
      <c r="C23" s="19">
        <f t="shared" si="0"/>
        <v>0</v>
      </c>
      <c r="D23" s="19">
        <f t="shared" si="0"/>
        <v>0</v>
      </c>
      <c r="E23" s="19">
        <f t="shared" si="0"/>
        <v>0</v>
      </c>
      <c r="F23" s="19">
        <f t="shared" si="0"/>
        <v>0</v>
      </c>
      <c r="G23" s="19">
        <f t="shared" si="0"/>
        <v>0</v>
      </c>
      <c r="H23" s="312" t="s">
        <v>45</v>
      </c>
    </row>
    <row r="24" spans="1:8" ht="13.5" customHeight="1" thickBot="1">
      <c r="A24" s="313" t="s">
        <v>11</v>
      </c>
      <c r="B24" s="19">
        <f aca="true" t="shared" si="1" ref="B24:G24">IF(B18="",IF(B19+B20+B21=0,0,IF(B23&gt;10,$D$16,IF(B21+B20&lt;33,$B$16,$C$16))),B18)</f>
        <v>0</v>
      </c>
      <c r="C24" s="19">
        <f t="shared" si="1"/>
        <v>0</v>
      </c>
      <c r="D24" s="19">
        <f t="shared" si="1"/>
        <v>0</v>
      </c>
      <c r="E24" s="19">
        <f t="shared" si="1"/>
        <v>0</v>
      </c>
      <c r="F24" s="19">
        <f t="shared" si="1"/>
        <v>0</v>
      </c>
      <c r="G24" s="19">
        <f t="shared" si="1"/>
        <v>0</v>
      </c>
      <c r="H24" s="312" t="s">
        <v>44</v>
      </c>
    </row>
    <row r="25" spans="1:8" ht="13.5" customHeight="1">
      <c r="A25" s="6"/>
      <c r="B25" s="7"/>
      <c r="C25" s="7"/>
      <c r="D25" s="7"/>
      <c r="E25" s="7"/>
      <c r="F25" s="7"/>
      <c r="G25" s="7"/>
      <c r="H25" s="8"/>
    </row>
    <row r="26" spans="1:8" ht="13.5" customHeight="1" thickBot="1">
      <c r="A26" s="309" t="s">
        <v>25</v>
      </c>
      <c r="B26" s="310"/>
      <c r="C26" s="310"/>
      <c r="D26" s="310"/>
      <c r="E26" s="310"/>
      <c r="F26" s="310"/>
      <c r="G26" s="310"/>
      <c r="H26" s="311"/>
    </row>
    <row r="27" spans="1:8" ht="13.5" customHeight="1">
      <c r="A27" s="9" t="s">
        <v>54</v>
      </c>
      <c r="B27" s="62"/>
      <c r="C27" s="63"/>
      <c r="D27" s="63"/>
      <c r="E27" s="63"/>
      <c r="F27" s="63"/>
      <c r="G27" s="64"/>
      <c r="H27" s="299" t="s">
        <v>59</v>
      </c>
    </row>
    <row r="28" spans="1:8" ht="13.5" customHeight="1">
      <c r="A28" s="10" t="s">
        <v>26</v>
      </c>
      <c r="B28" s="65"/>
      <c r="C28" s="66"/>
      <c r="D28" s="66"/>
      <c r="E28" s="66"/>
      <c r="F28" s="66"/>
      <c r="G28" s="67"/>
      <c r="H28" s="300"/>
    </row>
    <row r="29" spans="1:8" ht="13.5" customHeight="1">
      <c r="A29" s="10" t="s">
        <v>55</v>
      </c>
      <c r="B29" s="65"/>
      <c r="C29" s="66"/>
      <c r="D29" s="66"/>
      <c r="E29" s="66"/>
      <c r="F29" s="66"/>
      <c r="G29" s="67"/>
      <c r="H29" s="301"/>
    </row>
    <row r="30" spans="1:8" ht="13.5" customHeight="1">
      <c r="A30" s="48" t="s">
        <v>47</v>
      </c>
      <c r="B30" s="68"/>
      <c r="C30" s="66"/>
      <c r="D30" s="199"/>
      <c r="E30" s="199"/>
      <c r="F30" s="199"/>
      <c r="G30" s="200"/>
      <c r="H30" s="305" t="s">
        <v>56</v>
      </c>
    </row>
    <row r="31" spans="1:8" ht="13.5" customHeight="1" thickBot="1">
      <c r="A31" s="11" t="s">
        <v>42</v>
      </c>
      <c r="B31" s="69"/>
      <c r="C31" s="201"/>
      <c r="D31" s="202"/>
      <c r="E31" s="202"/>
      <c r="F31" s="202"/>
      <c r="G31" s="203"/>
      <c r="H31" s="306"/>
    </row>
    <row r="32" spans="1:8" ht="14.25" customHeight="1">
      <c r="A32" s="12"/>
      <c r="B32" s="13"/>
      <c r="C32" s="13"/>
      <c r="D32" s="13"/>
      <c r="E32" s="20"/>
      <c r="F32" s="13"/>
      <c r="G32" s="13"/>
      <c r="H32" s="8"/>
    </row>
    <row r="33" spans="1:8" ht="13.5" customHeight="1" thickBot="1">
      <c r="A33" s="288" t="s">
        <v>27</v>
      </c>
      <c r="B33" s="289"/>
      <c r="C33" s="289"/>
      <c r="D33" s="289"/>
      <c r="E33" s="289"/>
      <c r="F33" s="289"/>
      <c r="G33" s="289"/>
      <c r="H33" s="289"/>
    </row>
    <row r="34" spans="1:8" ht="13.5" customHeight="1">
      <c r="A34" s="14" t="s">
        <v>31</v>
      </c>
      <c r="B34" s="100">
        <f>IF($B30="",ROUND(164.74*(1.1177^$B$31)*($B$31^0.6444),-1),B30)</f>
        <v>0</v>
      </c>
      <c r="C34" s="101">
        <f>IF(C30="",ROUND(164.74*(1.1177^C31)*(C31^0.6444),-1),C30)</f>
        <v>0</v>
      </c>
      <c r="D34" s="101">
        <f>IF(D30="",ROUND(164.74*(1.1177^D31)*(D31^0.6444),-1),D30)</f>
        <v>0</v>
      </c>
      <c r="E34" s="101">
        <f>IF(E30="",ROUND(164.74*(1.1177^E31)*(E31^0.6444),-1),E30)</f>
        <v>0</v>
      </c>
      <c r="F34" s="101">
        <f>IF(F30="",ROUND(164.74*(1.1177^F31)*(F31^0.6444),-1),F30)</f>
        <v>0</v>
      </c>
      <c r="G34" s="49">
        <f>IF(G30="",ROUND(164.74*(1.1177^G31)*(G31^0.6444),-1),G30)</f>
        <v>0</v>
      </c>
      <c r="H34" s="47" t="s">
        <v>48</v>
      </c>
    </row>
    <row r="35" spans="1:8" ht="13.5" customHeight="1">
      <c r="A35" s="297" t="s">
        <v>32</v>
      </c>
      <c r="B35" s="70"/>
      <c r="C35" s="71"/>
      <c r="D35" s="71"/>
      <c r="E35" s="71"/>
      <c r="F35" s="71"/>
      <c r="G35" s="72"/>
      <c r="H35" s="282" t="s">
        <v>40</v>
      </c>
    </row>
    <row r="36" spans="1:8" ht="13.5" customHeight="1">
      <c r="A36" s="297" t="s">
        <v>28</v>
      </c>
      <c r="B36" s="70"/>
      <c r="C36" s="71"/>
      <c r="D36" s="71"/>
      <c r="E36" s="71"/>
      <c r="F36" s="71"/>
      <c r="G36" s="72"/>
      <c r="H36" s="283"/>
    </row>
    <row r="37" spans="1:8" ht="13.5" customHeight="1">
      <c r="A37" s="297" t="s">
        <v>29</v>
      </c>
      <c r="B37" s="70"/>
      <c r="C37" s="71"/>
      <c r="D37" s="71"/>
      <c r="E37" s="71"/>
      <c r="F37" s="71"/>
      <c r="G37" s="72"/>
      <c r="H37" s="283"/>
    </row>
    <row r="38" spans="1:8" ht="13.5" customHeight="1">
      <c r="A38" s="297" t="s">
        <v>30</v>
      </c>
      <c r="B38" s="40">
        <f aca="true" t="shared" si="2" ref="B38:G38">IF(AND(B36&gt;0,B37&gt;0),IF(B71&gt;4.57,IF(B37&lt;9,(B71/22.13)^B72*(10.8*B70+0.03),(B71/22.13)^B72*(16.8*B70-0.5)),IF(B37&gt;=9,10^(LOG10(((15/72.6)^B72*(16.8*B70-0.5))/((15/72.6)^B72*(3*B70^0.8+0.56)))*LOG10(B71/0.9144)/LOG10(5)+LOG10((15/72.6)^B72*(3*B70^0.8+0.56))),(10.8*B70+0.03)*(15/72.6)^B72)),0)</f>
        <v>0</v>
      </c>
      <c r="C38" s="41">
        <f t="shared" si="2"/>
        <v>0</v>
      </c>
      <c r="D38" s="41">
        <f t="shared" si="2"/>
        <v>0</v>
      </c>
      <c r="E38" s="41">
        <f t="shared" si="2"/>
        <v>0</v>
      </c>
      <c r="F38" s="41">
        <f t="shared" si="2"/>
        <v>0</v>
      </c>
      <c r="G38" s="42">
        <f t="shared" si="2"/>
        <v>0</v>
      </c>
      <c r="H38" s="283"/>
    </row>
    <row r="39" spans="1:8" ht="13.5" customHeight="1">
      <c r="A39" s="297" t="s">
        <v>33</v>
      </c>
      <c r="B39" s="204">
        <v>1.3</v>
      </c>
      <c r="C39" s="205">
        <v>1.3</v>
      </c>
      <c r="D39" s="205">
        <v>1.3</v>
      </c>
      <c r="E39" s="205">
        <v>1.3</v>
      </c>
      <c r="F39" s="205">
        <v>1.3</v>
      </c>
      <c r="G39" s="206">
        <v>1.3</v>
      </c>
      <c r="H39" s="283"/>
    </row>
    <row r="40" spans="1:8" ht="13.5" customHeight="1" thickBot="1">
      <c r="A40" s="298" t="s">
        <v>34</v>
      </c>
      <c r="B40" s="207">
        <v>1</v>
      </c>
      <c r="C40" s="208">
        <v>1</v>
      </c>
      <c r="D40" s="208">
        <v>1</v>
      </c>
      <c r="E40" s="208">
        <v>1</v>
      </c>
      <c r="F40" s="208">
        <v>1</v>
      </c>
      <c r="G40" s="209">
        <v>1</v>
      </c>
      <c r="H40" s="284"/>
    </row>
    <row r="41" spans="1:8" ht="15" customHeight="1">
      <c r="A41" s="15"/>
      <c r="B41" s="82"/>
      <c r="C41" s="82"/>
      <c r="D41" s="82"/>
      <c r="E41" s="82"/>
      <c r="F41" s="82"/>
      <c r="G41" s="82"/>
      <c r="H41" s="24"/>
    </row>
    <row r="42" spans="1:8" ht="13.5" customHeight="1" thickBot="1">
      <c r="A42" s="302" t="s">
        <v>138</v>
      </c>
      <c r="B42" s="302"/>
      <c r="C42" s="302"/>
      <c r="D42" s="302"/>
      <c r="E42" s="302"/>
      <c r="F42" s="302"/>
      <c r="G42" s="302"/>
      <c r="H42" s="303"/>
    </row>
    <row r="43" spans="1:9" ht="13.5" customHeight="1">
      <c r="A43" s="88" t="s">
        <v>112</v>
      </c>
      <c r="B43" s="89">
        <v>2</v>
      </c>
      <c r="C43" s="91">
        <v>2</v>
      </c>
      <c r="D43" s="91">
        <v>2</v>
      </c>
      <c r="E43" s="91">
        <v>2</v>
      </c>
      <c r="F43" s="91">
        <v>2</v>
      </c>
      <c r="G43" s="87">
        <v>2</v>
      </c>
      <c r="H43" s="47" t="s">
        <v>63</v>
      </c>
      <c r="I43" s="85"/>
    </row>
    <row r="44" spans="1:9" ht="13.5" customHeight="1" thickBot="1">
      <c r="A44" s="86" t="s">
        <v>57</v>
      </c>
      <c r="B44" s="90"/>
      <c r="C44" s="92"/>
      <c r="D44" s="92"/>
      <c r="E44" s="92"/>
      <c r="F44" s="92"/>
      <c r="G44" s="84"/>
      <c r="H44" s="252" t="s">
        <v>60</v>
      </c>
      <c r="I44" s="85"/>
    </row>
    <row r="45" spans="1:8" ht="14.25" customHeight="1">
      <c r="A45" s="15"/>
      <c r="B45" s="23"/>
      <c r="C45" s="23"/>
      <c r="D45" s="23"/>
      <c r="E45" s="23"/>
      <c r="F45" s="23"/>
      <c r="G45" s="23"/>
      <c r="H45" s="24"/>
    </row>
    <row r="46" spans="1:8" ht="13.5" customHeight="1" thickBot="1">
      <c r="A46" s="285" t="s">
        <v>111</v>
      </c>
      <c r="B46" s="286"/>
      <c r="C46" s="286"/>
      <c r="D46" s="286"/>
      <c r="E46" s="286"/>
      <c r="F46" s="286"/>
      <c r="G46" s="286"/>
      <c r="H46" s="287"/>
    </row>
    <row r="47" spans="1:8" ht="13.5" customHeight="1">
      <c r="A47" s="296" t="s">
        <v>35</v>
      </c>
      <c r="B47" s="34">
        <f aca="true" t="shared" si="3" ref="B47:G47">B34*B35*B38*B39*B40</f>
        <v>0</v>
      </c>
      <c r="C47" s="34">
        <f t="shared" si="3"/>
        <v>0</v>
      </c>
      <c r="D47" s="34">
        <f t="shared" si="3"/>
        <v>0</v>
      </c>
      <c r="E47" s="34">
        <f t="shared" si="3"/>
        <v>0</v>
      </c>
      <c r="F47" s="34">
        <f t="shared" si="3"/>
        <v>0</v>
      </c>
      <c r="G47" s="35">
        <f t="shared" si="3"/>
        <v>0</v>
      </c>
      <c r="H47" s="295"/>
    </row>
    <row r="48" spans="1:8" ht="13.5" customHeight="1">
      <c r="A48" s="32" t="s">
        <v>10</v>
      </c>
      <c r="B48" s="33">
        <f>IF(SoilLoss&gt;1500,"7",IF(SoilLoss&gt;=751,"6",IF(SoilLoss&gt;=501,"5",IF(SoilLoss&gt;=351,"4",IF(SoilLoss&gt;=226,"3",IF(SoilLoss&gt;=151,"2",IF(SoilLoss&gt;0,"1",IF(SoilLoss=0,0))))))))</f>
        <v>0</v>
      </c>
      <c r="C48" s="33">
        <f>IF(SoilLoss2&gt;1500,"7",IF(SoilLoss2&gt;=751,"6",IF(SoilLoss2&gt;=501,"5",IF(SoilLoss2&gt;=351,"4",IF(SoilLoss2&gt;=226,"3",IF(SoilLoss2&gt;=151,"2",IF(SoilLoss2&gt;0,"1",IF(SoilLoss2=0,0))))))))</f>
        <v>0</v>
      </c>
      <c r="D48" s="33">
        <f>IF(SoilLoss3&gt;1500,"7",IF(SoilLoss3&gt;=751,"6",IF(SoilLoss3&gt;=501,"5",IF(SoilLoss3&gt;=351,"4",IF(SoilLoss3&gt;=226,"3",IF(SoilLoss3&gt;=151,"2",IF(SoilLoss3&gt;0,"1",IF(SoilLoss3=0,0))))))))</f>
        <v>0</v>
      </c>
      <c r="E48" s="33">
        <f>IF(SoilLoss4&gt;1500,"7",IF(SoilLoss4&gt;=751,"6",IF(SoilLoss4&gt;=501,"5",IF(SoilLoss4&gt;=351,"4",IF(SoilLoss4&gt;=226,"3",IF(SoilLoss4&gt;=151,"2",IF(SoilLoss4&gt;0,"1",IF(SoilLoss4=0,0))))))))</f>
        <v>0</v>
      </c>
      <c r="F48" s="33">
        <f>IF(SoilLoss5&gt;1500,"7",IF(SoilLoss5&gt;=751,"6",IF(SoilLoss5&gt;=501,"5",IF(SoilLoss5&gt;=351,"4",IF(SoilLoss5&gt;=226,"3",IF(SoilLoss5&gt;=151,"2",IF(SoilLoss5&gt;0,"1",IF(SoilLoss5=0,0))))))))</f>
        <v>0</v>
      </c>
      <c r="G48" s="37">
        <f>IF(SoilLoss6&gt;1500,"7",IF(SoilLoss6&gt;=751,"6",IF(SoilLoss6&gt;=501,"5",IF(SoilLoss6&gt;=351,"4",IF(SoilLoss6&gt;=226,"3",IF(SoilLoss6&gt;=151,"2",IF(SoilLoss6&gt;0,"1",IF(SoilLoss6=0,0))))))))</f>
        <v>0</v>
      </c>
      <c r="H48" s="36" t="s">
        <v>67</v>
      </c>
    </row>
    <row r="49" spans="1:8" ht="13.5" customHeight="1">
      <c r="A49" s="16" t="s">
        <v>36</v>
      </c>
      <c r="B49" s="17">
        <f aca="true" t="shared" si="4" ref="B49:G49">B47/1.3</f>
        <v>0</v>
      </c>
      <c r="C49" s="17">
        <f t="shared" si="4"/>
        <v>0</v>
      </c>
      <c r="D49" s="17">
        <f t="shared" si="4"/>
        <v>0</v>
      </c>
      <c r="E49" s="17">
        <f t="shared" si="4"/>
        <v>0</v>
      </c>
      <c r="F49" s="17">
        <f t="shared" si="4"/>
        <v>0</v>
      </c>
      <c r="G49" s="18">
        <f t="shared" si="4"/>
        <v>0</v>
      </c>
      <c r="H49" s="25" t="s">
        <v>68</v>
      </c>
    </row>
    <row r="50" spans="1:8" ht="13.5" customHeight="1">
      <c r="A50" s="93" t="s">
        <v>64</v>
      </c>
      <c r="B50" s="94">
        <f aca="true" t="shared" si="5" ref="B50:G50">IF(B47&lt;0.5,0,ROUND(B43/12*B49*B15,0))</f>
        <v>0</v>
      </c>
      <c r="C50" s="94">
        <f t="shared" si="5"/>
        <v>0</v>
      </c>
      <c r="D50" s="94">
        <f t="shared" si="5"/>
        <v>0</v>
      </c>
      <c r="E50" s="94">
        <f t="shared" si="5"/>
        <v>0</v>
      </c>
      <c r="F50" s="94">
        <f t="shared" si="5"/>
        <v>0</v>
      </c>
      <c r="G50" s="95">
        <f t="shared" si="5"/>
        <v>0</v>
      </c>
      <c r="H50" s="96" t="s">
        <v>69</v>
      </c>
    </row>
    <row r="51" spans="1:9" ht="13.5" customHeight="1">
      <c r="A51" s="98" t="s">
        <v>65</v>
      </c>
      <c r="B51" s="102">
        <f aca="true" t="shared" si="6" ref="B51:G51">ROUND(10*B44*B29*B14,0)</f>
        <v>0</v>
      </c>
      <c r="C51" s="103">
        <f t="shared" si="6"/>
        <v>0</v>
      </c>
      <c r="D51" s="103">
        <f t="shared" si="6"/>
        <v>0</v>
      </c>
      <c r="E51" s="103">
        <f t="shared" si="6"/>
        <v>0</v>
      </c>
      <c r="F51" s="103">
        <f t="shared" si="6"/>
        <v>0</v>
      </c>
      <c r="G51" s="104">
        <f t="shared" si="6"/>
        <v>0</v>
      </c>
      <c r="H51" s="107" t="s">
        <v>69</v>
      </c>
      <c r="I51" s="85"/>
    </row>
    <row r="52" spans="1:9" ht="13.5" customHeight="1" thickBot="1">
      <c r="A52" s="99" t="s">
        <v>66</v>
      </c>
      <c r="B52" s="109">
        <f aca="true" t="shared" si="7" ref="B52:G52">IF(OR(B50=0,B51=0),0,B51+B50)</f>
        <v>0</v>
      </c>
      <c r="C52" s="111">
        <f t="shared" si="7"/>
        <v>0</v>
      </c>
      <c r="D52" s="111">
        <f t="shared" si="7"/>
        <v>0</v>
      </c>
      <c r="E52" s="111">
        <f t="shared" si="7"/>
        <v>0</v>
      </c>
      <c r="F52" s="111">
        <f t="shared" si="7"/>
        <v>0</v>
      </c>
      <c r="G52" s="110">
        <f t="shared" si="7"/>
        <v>0</v>
      </c>
      <c r="H52" s="108"/>
      <c r="I52" s="85"/>
    </row>
    <row r="53" spans="1:8" ht="6.75" customHeight="1">
      <c r="A53" s="97"/>
      <c r="B53" s="22"/>
      <c r="C53" s="22"/>
      <c r="D53" s="22"/>
      <c r="E53" s="22"/>
      <c r="F53" s="22"/>
      <c r="G53" s="22"/>
      <c r="H53" s="22"/>
    </row>
    <row r="54" spans="1:8" ht="12.75" customHeight="1">
      <c r="A54" s="304" t="s">
        <v>114</v>
      </c>
      <c r="B54" s="304"/>
      <c r="C54" s="304"/>
      <c r="D54" s="304"/>
      <c r="E54" s="304"/>
      <c r="F54" s="304"/>
      <c r="G54" s="304"/>
      <c r="H54" s="294"/>
    </row>
    <row r="70" spans="1:7" ht="12.75">
      <c r="A70" s="38"/>
      <c r="B70" s="39">
        <f aca="true" t="shared" si="8" ref="B70:G70">SIN(ATAN(B37/100))</f>
        <v>0</v>
      </c>
      <c r="C70" s="39">
        <f t="shared" si="8"/>
        <v>0</v>
      </c>
      <c r="D70" s="39">
        <f t="shared" si="8"/>
        <v>0</v>
      </c>
      <c r="E70" s="39">
        <f t="shared" si="8"/>
        <v>0</v>
      </c>
      <c r="F70" s="39">
        <f t="shared" si="8"/>
        <v>0</v>
      </c>
      <c r="G70" s="39">
        <f t="shared" si="8"/>
        <v>0</v>
      </c>
    </row>
    <row r="71" spans="1:7" ht="12.75">
      <c r="A71" s="38"/>
      <c r="B71" s="39">
        <f aca="true" t="shared" si="9" ref="B71:G71">B36*COS(ATAN(B37/100))</f>
        <v>0</v>
      </c>
      <c r="C71" s="39">
        <f t="shared" si="9"/>
        <v>0</v>
      </c>
      <c r="D71" s="39">
        <f t="shared" si="9"/>
        <v>0</v>
      </c>
      <c r="E71" s="39">
        <f t="shared" si="9"/>
        <v>0</v>
      </c>
      <c r="F71" s="39">
        <f t="shared" si="9"/>
        <v>0</v>
      </c>
      <c r="G71" s="39">
        <f t="shared" si="9"/>
        <v>0</v>
      </c>
    </row>
    <row r="72" spans="1:7" ht="12.75">
      <c r="A72" s="38"/>
      <c r="B72" s="39">
        <f aca="true" t="shared" si="10" ref="B72:G72">(2*(B70/0.0896)/(3*B70^0.8+0.56)/(1+(2*(B70/0.0896)/(3*B70^0.8+0.56))))</f>
        <v>0</v>
      </c>
      <c r="C72" s="39">
        <f t="shared" si="10"/>
        <v>0</v>
      </c>
      <c r="D72" s="39">
        <f t="shared" si="10"/>
        <v>0</v>
      </c>
      <c r="E72" s="39">
        <f t="shared" si="10"/>
        <v>0</v>
      </c>
      <c r="F72" s="39">
        <f t="shared" si="10"/>
        <v>0</v>
      </c>
      <c r="G72" s="39">
        <f t="shared" si="10"/>
        <v>0</v>
      </c>
    </row>
  </sheetData>
  <sheetProtection password="C72F" sheet="1" objects="1" scenarios="1"/>
  <mergeCells count="19">
    <mergeCell ref="A1:H1"/>
    <mergeCell ref="A2:H2"/>
    <mergeCell ref="B3:H4"/>
    <mergeCell ref="B5:H6"/>
    <mergeCell ref="B7:H8"/>
    <mergeCell ref="B9:H11"/>
    <mergeCell ref="H12:H13"/>
    <mergeCell ref="B12:G12"/>
    <mergeCell ref="A12:A13"/>
    <mergeCell ref="A17:H17"/>
    <mergeCell ref="H30:H31"/>
    <mergeCell ref="H19:H21"/>
    <mergeCell ref="A26:H26"/>
    <mergeCell ref="A33:H33"/>
    <mergeCell ref="H27:H29"/>
    <mergeCell ref="A42:H42"/>
    <mergeCell ref="A54:H54"/>
    <mergeCell ref="H35:H40"/>
    <mergeCell ref="A46:H46"/>
  </mergeCells>
  <dataValidations count="2">
    <dataValidation type="decimal" allowBlank="1" showInputMessage="1" showErrorMessage="1" promptTitle="Slope Length" prompt="Enter length, measured parallel to the surface, in metres." error="Range is 1 to 300." sqref="B36:G36">
      <formula1>1</formula1>
      <formula2>300</formula2>
    </dataValidation>
    <dataValidation type="decimal" allowBlank="1" showInputMessage="1" showErrorMessage="1" promptTitle="Slope Gradient" prompt="Enter slope as percent." error="Range is 0.2 to 100." sqref="B37:G37">
      <formula1>0.2</formula1>
      <formula2>100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4"/>
  <sheetViews>
    <sheetView showZeros="0" view="pageBreakPreview" zoomScale="115" zoomScaleSheetLayoutView="115" workbookViewId="0" topLeftCell="A1">
      <selection activeCell="A1" sqref="A1:H1"/>
    </sheetView>
  </sheetViews>
  <sheetFormatPr defaultColWidth="9.140625" defaultRowHeight="12.75"/>
  <cols>
    <col min="1" max="1" width="19.421875" style="0" customWidth="1"/>
    <col min="2" max="8" width="5.7109375" style="0" customWidth="1"/>
    <col min="9" max="9" width="5.8515625" style="0" customWidth="1"/>
    <col min="10" max="10" width="21.7109375" style="0" customWidth="1"/>
    <col min="11" max="11" width="12.57421875" style="0" customWidth="1"/>
  </cols>
  <sheetData>
    <row r="1" spans="1:10" ht="18">
      <c r="A1" s="345" t="s">
        <v>70</v>
      </c>
      <c r="B1" s="346"/>
      <c r="C1" s="346"/>
      <c r="D1" s="346"/>
      <c r="E1" s="346"/>
      <c r="F1" s="26"/>
      <c r="G1" s="26"/>
      <c r="H1" s="26"/>
      <c r="I1" s="26"/>
      <c r="J1" s="26"/>
    </row>
    <row r="2" spans="1:10" ht="9.7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1" ht="15.75">
      <c r="A3" s="28" t="s">
        <v>7</v>
      </c>
      <c r="B3" s="28"/>
      <c r="C3" s="28"/>
      <c r="D3" s="28"/>
      <c r="E3" s="28"/>
      <c r="F3" s="343" t="s">
        <v>73</v>
      </c>
      <c r="G3" s="344"/>
      <c r="H3" s="344"/>
      <c r="I3" s="344"/>
      <c r="J3" s="344"/>
      <c r="K3" s="210"/>
    </row>
    <row r="4" spans="1:10" ht="12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14.25" customHeight="1">
      <c r="A5" s="29" t="s">
        <v>12</v>
      </c>
      <c r="B5" s="30" t="s">
        <v>15</v>
      </c>
      <c r="C5" s="28" t="s">
        <v>37</v>
      </c>
      <c r="E5" s="28"/>
      <c r="F5" s="28"/>
      <c r="G5" s="28"/>
      <c r="H5" s="28"/>
      <c r="I5" s="28"/>
      <c r="J5" s="28"/>
    </row>
    <row r="6" spans="1:11" ht="13.5" customHeight="1">
      <c r="A6" s="28"/>
      <c r="B6" s="30" t="s">
        <v>14</v>
      </c>
      <c r="C6" t="s">
        <v>71</v>
      </c>
      <c r="D6" s="80"/>
      <c r="E6" s="80"/>
      <c r="F6" s="80"/>
      <c r="G6" s="80"/>
      <c r="H6" s="80"/>
      <c r="I6" s="80"/>
      <c r="J6" s="80"/>
      <c r="K6" s="81"/>
    </row>
    <row r="7" spans="1:11" ht="14.25" customHeight="1">
      <c r="A7" s="28"/>
      <c r="B7" s="30" t="s">
        <v>13</v>
      </c>
      <c r="C7" t="s">
        <v>72</v>
      </c>
      <c r="D7" s="80"/>
      <c r="E7" s="80"/>
      <c r="F7" s="80"/>
      <c r="G7" s="80"/>
      <c r="H7" s="80"/>
      <c r="I7" s="80"/>
      <c r="J7" s="80"/>
      <c r="K7" s="81"/>
    </row>
    <row r="8" spans="1:10" ht="12" customHeight="1">
      <c r="A8" s="28"/>
      <c r="B8" s="30" t="s">
        <v>1</v>
      </c>
      <c r="C8" s="28" t="s">
        <v>6</v>
      </c>
      <c r="E8" s="28"/>
      <c r="F8" s="28"/>
      <c r="G8" s="28"/>
      <c r="H8" s="28"/>
      <c r="I8" s="28"/>
      <c r="J8" s="28"/>
    </row>
    <row r="9" spans="1:10" ht="14.25" customHeight="1">
      <c r="A9" s="28"/>
      <c r="B9" s="30" t="s">
        <v>16</v>
      </c>
      <c r="C9" s="28" t="s">
        <v>5</v>
      </c>
      <c r="E9" s="28"/>
      <c r="F9" s="28"/>
      <c r="G9" s="28"/>
      <c r="H9" s="28"/>
      <c r="I9" s="28"/>
      <c r="J9" s="28"/>
    </row>
    <row r="10" spans="1:10" ht="12.75">
      <c r="A10" s="28"/>
      <c r="B10" s="28"/>
      <c r="C10" s="28" t="s">
        <v>38</v>
      </c>
      <c r="E10" s="28"/>
      <c r="F10" s="28"/>
      <c r="G10" s="28"/>
      <c r="H10" s="28"/>
      <c r="I10" s="28"/>
      <c r="J10" s="28"/>
    </row>
    <row r="11" spans="1:10" ht="9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5.75">
      <c r="A12" s="348" t="s">
        <v>39</v>
      </c>
      <c r="B12" s="349"/>
      <c r="C12" s="349"/>
      <c r="D12" s="344" t="s">
        <v>74</v>
      </c>
      <c r="E12" s="344"/>
      <c r="F12" s="344"/>
      <c r="G12" s="344"/>
      <c r="H12" s="344"/>
      <c r="I12" s="344"/>
      <c r="J12" s="347"/>
    </row>
    <row r="13" spans="1:10" ht="9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1" ht="12.75" customHeight="1">
      <c r="A14" s="350" t="s">
        <v>75</v>
      </c>
      <c r="B14" s="351"/>
      <c r="C14" s="351"/>
      <c r="D14" s="351"/>
      <c r="E14" s="351"/>
      <c r="F14" s="351"/>
      <c r="G14" s="351"/>
      <c r="H14" s="351"/>
      <c r="I14" s="351"/>
      <c r="J14" s="351"/>
      <c r="K14" s="132"/>
    </row>
    <row r="15" spans="1:11" ht="12.75">
      <c r="A15" s="352"/>
      <c r="B15" s="353"/>
      <c r="C15" s="353"/>
      <c r="D15" s="353"/>
      <c r="E15" s="353"/>
      <c r="F15" s="353"/>
      <c r="G15" s="353"/>
      <c r="H15" s="353"/>
      <c r="I15" s="353"/>
      <c r="J15" s="353"/>
      <c r="K15" s="135"/>
    </row>
    <row r="16" spans="1:11" ht="12.75">
      <c r="A16" s="352"/>
      <c r="B16" s="353"/>
      <c r="C16" s="353"/>
      <c r="D16" s="353"/>
      <c r="E16" s="353"/>
      <c r="F16" s="353"/>
      <c r="G16" s="353"/>
      <c r="H16" s="353"/>
      <c r="I16" s="353"/>
      <c r="J16" s="353"/>
      <c r="K16" s="135"/>
    </row>
    <row r="17" spans="1:11" ht="7.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5"/>
    </row>
    <row r="18" spans="1:11" ht="13.5" thickBot="1">
      <c r="A18" s="76" t="s">
        <v>101</v>
      </c>
      <c r="B18" s="77"/>
      <c r="C18" s="77"/>
      <c r="D18" s="77"/>
      <c r="E18" s="77"/>
      <c r="F18" s="77"/>
      <c r="G18" s="77"/>
      <c r="H18" s="77"/>
      <c r="I18" s="77"/>
      <c r="J18" s="77" t="s">
        <v>52</v>
      </c>
      <c r="K18" s="78"/>
    </row>
    <row r="19" spans="1:11" ht="15" customHeight="1" thickBot="1">
      <c r="A19" s="127" t="s">
        <v>102</v>
      </c>
      <c r="B19" s="211"/>
      <c r="C19" s="212"/>
      <c r="D19" s="212"/>
      <c r="E19" s="212"/>
      <c r="F19" s="212"/>
      <c r="G19" s="212"/>
      <c r="H19" s="212"/>
      <c r="I19" s="213"/>
      <c r="J19" s="128"/>
      <c r="K19" s="78"/>
    </row>
    <row r="20" spans="1:11" ht="15" customHeight="1">
      <c r="A20" s="136" t="s">
        <v>77</v>
      </c>
      <c r="B20" s="214"/>
      <c r="C20" s="215"/>
      <c r="D20" s="215"/>
      <c r="E20" s="215"/>
      <c r="F20" s="215"/>
      <c r="G20" s="215"/>
      <c r="H20" s="215"/>
      <c r="I20" s="216"/>
      <c r="J20" s="137"/>
      <c r="K20" s="78"/>
    </row>
    <row r="21" spans="1:11" ht="15" customHeight="1">
      <c r="A21" s="119" t="s">
        <v>49</v>
      </c>
      <c r="B21" s="217"/>
      <c r="C21" s="218"/>
      <c r="D21" s="218"/>
      <c r="E21" s="218"/>
      <c r="F21" s="218"/>
      <c r="G21" s="218"/>
      <c r="H21" s="218"/>
      <c r="I21" s="219"/>
      <c r="J21" s="123" t="s">
        <v>117</v>
      </c>
      <c r="K21" s="78"/>
    </row>
    <row r="22" spans="1:11" ht="15" customHeight="1" thickBot="1">
      <c r="A22" s="120" t="s">
        <v>78</v>
      </c>
      <c r="B22" s="121">
        <f aca="true" t="shared" si="0" ref="B22:I22">IF(B21="x",(ROUND((60*0.76*(B20/100)^0.38)/2,0)),ROUND(60*0.76*(B20/100)^0.38,0))</f>
        <v>0</v>
      </c>
      <c r="C22" s="121">
        <f>IF(C21="x",(ROUND((60*0.76*(C20/100)^0.38)/2,0)),ROUND(60*0.76*(C20/100)^0.38,0))</f>
        <v>0</v>
      </c>
      <c r="D22" s="121">
        <f>IF(D21="x",(ROUND((60*0.76*(D20/100)^0.38)/2,0)),ROUND(60*0.76*(D20/100)^0.38,0))</f>
        <v>0</v>
      </c>
      <c r="E22" s="121">
        <f t="shared" si="0"/>
        <v>0</v>
      </c>
      <c r="F22" s="121">
        <f t="shared" si="0"/>
        <v>0</v>
      </c>
      <c r="G22" s="121">
        <f t="shared" si="0"/>
        <v>0</v>
      </c>
      <c r="H22" s="121">
        <f t="shared" si="0"/>
        <v>0</v>
      </c>
      <c r="I22" s="122">
        <f t="shared" si="0"/>
        <v>0</v>
      </c>
      <c r="J22" s="124" t="s">
        <v>116</v>
      </c>
      <c r="K22" s="78"/>
    </row>
    <row r="23" spans="1:11" ht="9.75" customHeight="1">
      <c r="A23" s="113"/>
      <c r="B23" s="117"/>
      <c r="C23" s="117"/>
      <c r="D23" s="117"/>
      <c r="E23" s="117"/>
      <c r="F23" s="117"/>
      <c r="G23" s="117"/>
      <c r="H23" s="117"/>
      <c r="I23" s="117"/>
      <c r="J23" s="117"/>
      <c r="K23" s="78"/>
    </row>
    <row r="24" spans="1:11" ht="15" customHeight="1" thickBot="1">
      <c r="A24" s="112" t="s">
        <v>79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78"/>
    </row>
    <row r="25" spans="1:11" ht="15" customHeight="1">
      <c r="A25" s="265" t="s">
        <v>80</v>
      </c>
      <c r="B25" s="220"/>
      <c r="C25" s="221"/>
      <c r="D25" s="221"/>
      <c r="E25" s="221"/>
      <c r="F25" s="221"/>
      <c r="G25" s="221"/>
      <c r="H25" s="221"/>
      <c r="I25" s="222"/>
      <c r="J25" s="338" t="s">
        <v>110</v>
      </c>
      <c r="K25" s="78"/>
    </row>
    <row r="26" spans="1:11" ht="15" customHeight="1">
      <c r="A26" s="125" t="s">
        <v>149</v>
      </c>
      <c r="B26" s="214"/>
      <c r="C26" s="215"/>
      <c r="D26" s="215"/>
      <c r="E26" s="215"/>
      <c r="F26" s="215"/>
      <c r="G26" s="215"/>
      <c r="H26" s="215"/>
      <c r="I26" s="216"/>
      <c r="J26" s="339"/>
      <c r="K26" s="78"/>
    </row>
    <row r="27" spans="1:11" ht="15" customHeight="1">
      <c r="A27" s="125" t="s">
        <v>81</v>
      </c>
      <c r="B27" s="217"/>
      <c r="C27" s="218"/>
      <c r="D27" s="218"/>
      <c r="E27" s="218"/>
      <c r="F27" s="218"/>
      <c r="G27" s="218"/>
      <c r="H27" s="218"/>
      <c r="I27" s="219"/>
      <c r="J27" s="339"/>
      <c r="K27" s="78"/>
    </row>
    <row r="28" spans="1:11" ht="15" customHeight="1">
      <c r="A28" s="125" t="s">
        <v>82</v>
      </c>
      <c r="B28" s="217"/>
      <c r="C28" s="218"/>
      <c r="D28" s="218"/>
      <c r="E28" s="218"/>
      <c r="F28" s="218"/>
      <c r="G28" s="218"/>
      <c r="H28" s="218"/>
      <c r="I28" s="219"/>
      <c r="J28" s="339"/>
      <c r="K28" s="78"/>
    </row>
    <row r="29" spans="1:11" ht="15" customHeight="1">
      <c r="A29" s="125" t="s">
        <v>83</v>
      </c>
      <c r="B29" s="217"/>
      <c r="C29" s="218"/>
      <c r="D29" s="218"/>
      <c r="E29" s="218"/>
      <c r="F29" s="218"/>
      <c r="G29" s="218"/>
      <c r="H29" s="218"/>
      <c r="I29" s="219"/>
      <c r="J29" s="339"/>
      <c r="K29" s="78"/>
    </row>
    <row r="30" spans="1:11" ht="15" customHeight="1">
      <c r="A30" s="125" t="s">
        <v>84</v>
      </c>
      <c r="B30" s="217"/>
      <c r="C30" s="218"/>
      <c r="D30" s="218"/>
      <c r="E30" s="218"/>
      <c r="F30" s="218"/>
      <c r="G30" s="218"/>
      <c r="H30" s="218"/>
      <c r="I30" s="219"/>
      <c r="J30" s="339"/>
      <c r="K30" s="78"/>
    </row>
    <row r="31" spans="1:11" ht="15" customHeight="1" thickBot="1">
      <c r="A31" s="126" t="s">
        <v>85</v>
      </c>
      <c r="B31" s="223"/>
      <c r="C31" s="224"/>
      <c r="D31" s="224"/>
      <c r="E31" s="224"/>
      <c r="F31" s="224"/>
      <c r="G31" s="224"/>
      <c r="H31" s="224"/>
      <c r="I31" s="225"/>
      <c r="J31" s="340"/>
      <c r="K31" s="78"/>
    </row>
    <row r="32" spans="1:11" ht="9" customHeight="1" thickBot="1">
      <c r="A32" s="113"/>
      <c r="B32" s="117"/>
      <c r="C32" s="117"/>
      <c r="D32" s="117"/>
      <c r="E32" s="117"/>
      <c r="F32" s="117"/>
      <c r="G32" s="117"/>
      <c r="H32" s="117"/>
      <c r="I32" s="117"/>
      <c r="J32" s="117"/>
      <c r="K32" s="78"/>
    </row>
    <row r="33" spans="1:11" ht="15" customHeight="1" thickBot="1">
      <c r="A33" s="127" t="s">
        <v>86</v>
      </c>
      <c r="B33" s="211"/>
      <c r="C33" s="212"/>
      <c r="D33" s="212"/>
      <c r="E33" s="212"/>
      <c r="F33" s="212"/>
      <c r="G33" s="212"/>
      <c r="H33" s="212"/>
      <c r="I33" s="213"/>
      <c r="J33" s="128" t="s">
        <v>109</v>
      </c>
      <c r="K33" s="78"/>
    </row>
    <row r="34" spans="1:11" ht="9.75" customHeight="1">
      <c r="A34" s="113"/>
      <c r="B34" s="117"/>
      <c r="C34" s="117"/>
      <c r="D34" s="117"/>
      <c r="E34" s="117"/>
      <c r="F34" s="117"/>
      <c r="G34" s="117"/>
      <c r="H34" s="117"/>
      <c r="I34" s="117"/>
      <c r="J34" s="117"/>
      <c r="K34" s="78"/>
    </row>
    <row r="35" spans="1:11" ht="15" customHeight="1" thickBot="1">
      <c r="A35" s="118" t="s">
        <v>87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78"/>
    </row>
    <row r="36" spans="1:11" ht="15" customHeight="1">
      <c r="A36" s="269" t="s">
        <v>88</v>
      </c>
      <c r="B36" s="220">
        <v>0.8</v>
      </c>
      <c r="C36" s="221">
        <v>0.8</v>
      </c>
      <c r="D36" s="221">
        <v>0.8</v>
      </c>
      <c r="E36" s="221">
        <v>0.8</v>
      </c>
      <c r="F36" s="221">
        <v>0.8</v>
      </c>
      <c r="G36" s="221">
        <v>0.8</v>
      </c>
      <c r="H36" s="221">
        <v>0.8</v>
      </c>
      <c r="I36" s="222">
        <v>0.8</v>
      </c>
      <c r="J36" s="140" t="s">
        <v>103</v>
      </c>
      <c r="K36" s="78"/>
    </row>
    <row r="37" spans="1:11" ht="15" customHeight="1">
      <c r="A37" s="125" t="s">
        <v>150</v>
      </c>
      <c r="B37" s="266">
        <v>0.85</v>
      </c>
      <c r="C37" s="267">
        <v>0.85</v>
      </c>
      <c r="D37" s="218">
        <v>0.85</v>
      </c>
      <c r="E37" s="268">
        <v>0.85</v>
      </c>
      <c r="F37" s="267">
        <v>0.85</v>
      </c>
      <c r="G37" s="218">
        <v>0.85</v>
      </c>
      <c r="H37" s="268">
        <v>0.85</v>
      </c>
      <c r="I37" s="267">
        <v>0.85</v>
      </c>
      <c r="J37" s="123" t="s">
        <v>151</v>
      </c>
      <c r="K37" s="78"/>
    </row>
    <row r="38" spans="1:11" ht="15" customHeight="1">
      <c r="A38" s="138" t="s">
        <v>89</v>
      </c>
      <c r="B38" s="217">
        <v>0.95</v>
      </c>
      <c r="C38" s="218">
        <v>0.95</v>
      </c>
      <c r="D38" s="218">
        <v>0.95</v>
      </c>
      <c r="E38" s="218">
        <v>0.95</v>
      </c>
      <c r="F38" s="218">
        <v>0.95</v>
      </c>
      <c r="G38" s="218">
        <v>0.95</v>
      </c>
      <c r="H38" s="218">
        <v>0.95</v>
      </c>
      <c r="I38" s="219">
        <v>0.95</v>
      </c>
      <c r="J38" s="141" t="s">
        <v>104</v>
      </c>
      <c r="K38" s="78"/>
    </row>
    <row r="39" spans="1:11" ht="15" customHeight="1">
      <c r="A39" s="138" t="s">
        <v>90</v>
      </c>
      <c r="B39" s="217">
        <v>1</v>
      </c>
      <c r="C39" s="218">
        <v>1</v>
      </c>
      <c r="D39" s="218">
        <v>1</v>
      </c>
      <c r="E39" s="218">
        <v>1</v>
      </c>
      <c r="F39" s="218">
        <v>1</v>
      </c>
      <c r="G39" s="218">
        <v>1</v>
      </c>
      <c r="H39" s="218">
        <v>1</v>
      </c>
      <c r="I39" s="219">
        <v>1</v>
      </c>
      <c r="J39" s="141" t="s">
        <v>105</v>
      </c>
      <c r="K39" s="78"/>
    </row>
    <row r="40" spans="1:11" ht="15" customHeight="1">
      <c r="A40" s="138" t="s">
        <v>91</v>
      </c>
      <c r="B40" s="217">
        <v>1.05</v>
      </c>
      <c r="C40" s="218">
        <v>1.05</v>
      </c>
      <c r="D40" s="218">
        <v>1.05</v>
      </c>
      <c r="E40" s="218">
        <v>1.05</v>
      </c>
      <c r="F40" s="218">
        <v>1.05</v>
      </c>
      <c r="G40" s="218">
        <v>1.05</v>
      </c>
      <c r="H40" s="218">
        <v>1.05</v>
      </c>
      <c r="I40" s="219">
        <v>1.05</v>
      </c>
      <c r="J40" s="141" t="s">
        <v>106</v>
      </c>
      <c r="K40" s="78"/>
    </row>
    <row r="41" spans="1:11" ht="15" customHeight="1">
      <c r="A41" s="138" t="s">
        <v>92</v>
      </c>
      <c r="B41" s="217">
        <v>1.15</v>
      </c>
      <c r="C41" s="218">
        <v>1.15</v>
      </c>
      <c r="D41" s="218">
        <v>1.15</v>
      </c>
      <c r="E41" s="218">
        <v>1.15</v>
      </c>
      <c r="F41" s="218">
        <v>1.15</v>
      </c>
      <c r="G41" s="218">
        <v>1.15</v>
      </c>
      <c r="H41" s="218">
        <v>1.15</v>
      </c>
      <c r="I41" s="219">
        <v>1.15</v>
      </c>
      <c r="J41" s="141" t="s">
        <v>107</v>
      </c>
      <c r="K41" s="78"/>
    </row>
    <row r="42" spans="1:11" ht="15" customHeight="1" thickBot="1">
      <c r="A42" s="139" t="s">
        <v>93</v>
      </c>
      <c r="B42" s="223">
        <v>1.2</v>
      </c>
      <c r="C42" s="224">
        <v>1.2</v>
      </c>
      <c r="D42" s="224">
        <v>1.2</v>
      </c>
      <c r="E42" s="224">
        <v>1.2</v>
      </c>
      <c r="F42" s="224">
        <v>1.2</v>
      </c>
      <c r="G42" s="224">
        <v>1.2</v>
      </c>
      <c r="H42" s="224">
        <v>1.2</v>
      </c>
      <c r="I42" s="225">
        <v>1.2</v>
      </c>
      <c r="J42" s="142" t="s">
        <v>108</v>
      </c>
      <c r="K42" s="78"/>
    </row>
    <row r="43" spans="1:11" ht="9" customHeight="1">
      <c r="A43" s="115"/>
      <c r="B43" s="117"/>
      <c r="C43" s="117"/>
      <c r="D43" s="117"/>
      <c r="E43" s="117"/>
      <c r="F43" s="117"/>
      <c r="G43" s="117"/>
      <c r="H43" s="117"/>
      <c r="I43" s="117"/>
      <c r="J43" s="117"/>
      <c r="K43" s="78"/>
    </row>
    <row r="44" spans="1:11" ht="15" customHeight="1" thickBot="1">
      <c r="A44" s="118" t="s">
        <v>94</v>
      </c>
      <c r="B44" s="117"/>
      <c r="C44" s="117"/>
      <c r="D44" s="117"/>
      <c r="E44" s="254"/>
      <c r="F44" s="254"/>
      <c r="G44" s="254"/>
      <c r="H44" s="254"/>
      <c r="I44" s="254"/>
      <c r="J44" s="77" t="s">
        <v>52</v>
      </c>
      <c r="K44" s="78"/>
    </row>
    <row r="45" spans="1:11" ht="15" customHeight="1">
      <c r="A45" s="265" t="s">
        <v>95</v>
      </c>
      <c r="B45" s="129">
        <f aca="true" t="shared" si="1" ref="B45:B51">ROUND(0.00278*$B$20*B25*B36*$B$33,3)</f>
        <v>0</v>
      </c>
      <c r="C45" s="130">
        <f aca="true" t="shared" si="2" ref="C45:C51">ROUND(0.00278*$C$20*C25*C36*$C$33,3)</f>
        <v>0</v>
      </c>
      <c r="D45" s="130">
        <f aca="true" t="shared" si="3" ref="D45:D51">ROUND(0.00278*$D$20*D25*D36*$D$33,3)</f>
        <v>0</v>
      </c>
      <c r="E45" s="253">
        <f aca="true" t="shared" si="4" ref="E45:E51">ROUND(0.00278*$E$20*E25*E36*$E$33,3)</f>
        <v>0</v>
      </c>
      <c r="F45" s="253">
        <f aca="true" t="shared" si="5" ref="F45:F51">ROUND(0.00278*$F$20*F25*F36*$F$33,3)</f>
        <v>0</v>
      </c>
      <c r="G45" s="253">
        <f aca="true" t="shared" si="6" ref="G45:G51">ROUND(0.00278*$G$20*G25*G36*$G$33,3)</f>
        <v>0</v>
      </c>
      <c r="H45" s="253">
        <f aca="true" t="shared" si="7" ref="H45:H51">ROUND(0.00278*$H$20*H25*H36*$H$33,3)</f>
        <v>0</v>
      </c>
      <c r="I45" s="263">
        <f aca="true" t="shared" si="8" ref="I45:I51">ROUND(0.00278*$I$20*I25*I36*$I$33,3)</f>
        <v>0</v>
      </c>
      <c r="J45" s="264"/>
      <c r="K45" s="78"/>
    </row>
    <row r="46" spans="1:11" ht="15" customHeight="1">
      <c r="A46" s="125" t="s">
        <v>152</v>
      </c>
      <c r="B46" s="131">
        <f t="shared" si="1"/>
        <v>0</v>
      </c>
      <c r="C46" s="116">
        <f t="shared" si="2"/>
        <v>0</v>
      </c>
      <c r="D46" s="116">
        <f t="shared" si="3"/>
        <v>0</v>
      </c>
      <c r="E46" s="116">
        <f t="shared" si="4"/>
        <v>0</v>
      </c>
      <c r="F46" s="116">
        <f t="shared" si="5"/>
        <v>0</v>
      </c>
      <c r="G46" s="116">
        <f t="shared" si="6"/>
        <v>0</v>
      </c>
      <c r="H46" s="116">
        <f t="shared" si="7"/>
        <v>0</v>
      </c>
      <c r="I46" s="261">
        <f t="shared" si="8"/>
        <v>0</v>
      </c>
      <c r="J46" s="262"/>
      <c r="K46" s="78"/>
    </row>
    <row r="47" spans="1:11" ht="15" customHeight="1">
      <c r="A47" s="138" t="s">
        <v>96</v>
      </c>
      <c r="B47" s="131">
        <f t="shared" si="1"/>
        <v>0</v>
      </c>
      <c r="C47" s="116">
        <f t="shared" si="2"/>
        <v>0</v>
      </c>
      <c r="D47" s="116">
        <f t="shared" si="3"/>
        <v>0</v>
      </c>
      <c r="E47" s="116">
        <f t="shared" si="4"/>
        <v>0</v>
      </c>
      <c r="F47" s="116">
        <f t="shared" si="5"/>
        <v>0</v>
      </c>
      <c r="G47" s="116">
        <f t="shared" si="6"/>
        <v>0</v>
      </c>
      <c r="H47" s="116">
        <f t="shared" si="7"/>
        <v>0</v>
      </c>
      <c r="I47" s="261">
        <f t="shared" si="8"/>
        <v>0</v>
      </c>
      <c r="J47" s="262"/>
      <c r="K47" s="78"/>
    </row>
    <row r="48" spans="1:11" ht="15" customHeight="1">
      <c r="A48" s="138" t="s">
        <v>97</v>
      </c>
      <c r="B48" s="131">
        <f t="shared" si="1"/>
        <v>0</v>
      </c>
      <c r="C48" s="116">
        <f t="shared" si="2"/>
        <v>0</v>
      </c>
      <c r="D48" s="116">
        <f t="shared" si="3"/>
        <v>0</v>
      </c>
      <c r="E48" s="116">
        <f t="shared" si="4"/>
        <v>0</v>
      </c>
      <c r="F48" s="116">
        <f t="shared" si="5"/>
        <v>0</v>
      </c>
      <c r="G48" s="116">
        <f t="shared" si="6"/>
        <v>0</v>
      </c>
      <c r="H48" s="116">
        <f t="shared" si="7"/>
        <v>0</v>
      </c>
      <c r="I48" s="261">
        <f t="shared" si="8"/>
        <v>0</v>
      </c>
      <c r="J48" s="262"/>
      <c r="K48" s="78"/>
    </row>
    <row r="49" spans="1:11" ht="15" customHeight="1">
      <c r="A49" s="138" t="s">
        <v>98</v>
      </c>
      <c r="B49" s="131">
        <f t="shared" si="1"/>
        <v>0</v>
      </c>
      <c r="C49" s="116">
        <f t="shared" si="2"/>
        <v>0</v>
      </c>
      <c r="D49" s="116">
        <f t="shared" si="3"/>
        <v>0</v>
      </c>
      <c r="E49" s="116">
        <f t="shared" si="4"/>
        <v>0</v>
      </c>
      <c r="F49" s="116">
        <f t="shared" si="5"/>
        <v>0</v>
      </c>
      <c r="G49" s="116">
        <f t="shared" si="6"/>
        <v>0</v>
      </c>
      <c r="H49" s="116">
        <f t="shared" si="7"/>
        <v>0</v>
      </c>
      <c r="I49" s="261">
        <f t="shared" si="8"/>
        <v>0</v>
      </c>
      <c r="J49" s="262"/>
      <c r="K49" s="78"/>
    </row>
    <row r="50" spans="1:11" ht="15" customHeight="1">
      <c r="A50" s="138" t="s">
        <v>99</v>
      </c>
      <c r="B50" s="131">
        <f t="shared" si="1"/>
        <v>0</v>
      </c>
      <c r="C50" s="116">
        <f t="shared" si="2"/>
        <v>0</v>
      </c>
      <c r="D50" s="116">
        <f t="shared" si="3"/>
        <v>0</v>
      </c>
      <c r="E50" s="116">
        <f t="shared" si="4"/>
        <v>0</v>
      </c>
      <c r="F50" s="116">
        <f t="shared" si="5"/>
        <v>0</v>
      </c>
      <c r="G50" s="116">
        <f t="shared" si="6"/>
        <v>0</v>
      </c>
      <c r="H50" s="116">
        <f t="shared" si="7"/>
        <v>0</v>
      </c>
      <c r="I50" s="261">
        <f t="shared" si="8"/>
        <v>0</v>
      </c>
      <c r="J50" s="262"/>
      <c r="K50" s="78"/>
    </row>
    <row r="51" spans="1:11" ht="15" customHeight="1" thickBot="1">
      <c r="A51" s="139" t="s">
        <v>100</v>
      </c>
      <c r="B51" s="255">
        <f t="shared" si="1"/>
        <v>0</v>
      </c>
      <c r="C51" s="257">
        <f t="shared" si="2"/>
        <v>0</v>
      </c>
      <c r="D51" s="257">
        <f t="shared" si="3"/>
        <v>0</v>
      </c>
      <c r="E51" s="257">
        <f t="shared" si="4"/>
        <v>0</v>
      </c>
      <c r="F51" s="257">
        <f t="shared" si="5"/>
        <v>0</v>
      </c>
      <c r="G51" s="121">
        <f t="shared" si="6"/>
        <v>0</v>
      </c>
      <c r="H51" s="121">
        <f t="shared" si="7"/>
        <v>0</v>
      </c>
      <c r="I51" s="259">
        <f t="shared" si="8"/>
        <v>0</v>
      </c>
      <c r="J51" s="260"/>
      <c r="K51" s="78"/>
    </row>
    <row r="52" spans="1:11" ht="6" customHeight="1">
      <c r="A52" s="115"/>
      <c r="B52" s="256"/>
      <c r="C52" s="258"/>
      <c r="D52" s="258"/>
      <c r="E52" s="258"/>
      <c r="F52" s="258"/>
      <c r="G52" s="77"/>
      <c r="H52" s="77"/>
      <c r="I52" s="77"/>
      <c r="J52" s="77"/>
      <c r="K52" s="78"/>
    </row>
    <row r="53" spans="1:11" ht="13.5">
      <c r="A53" s="341" t="s">
        <v>113</v>
      </c>
      <c r="B53" s="342"/>
      <c r="C53" s="342"/>
      <c r="D53" s="342"/>
      <c r="E53" s="342"/>
      <c r="F53" s="342"/>
      <c r="G53" s="342"/>
      <c r="H53" s="342"/>
      <c r="I53" s="342"/>
      <c r="J53" s="342"/>
      <c r="K53" s="78"/>
    </row>
    <row r="54" spans="1:11" ht="13.5">
      <c r="A54" s="114"/>
      <c r="B54" s="77"/>
      <c r="C54" s="77"/>
      <c r="D54" s="77"/>
      <c r="E54" s="77"/>
      <c r="F54" s="77"/>
      <c r="G54" s="77"/>
      <c r="H54" s="77"/>
      <c r="I54" s="77"/>
      <c r="J54" s="77"/>
      <c r="K54" s="78"/>
    </row>
  </sheetData>
  <sheetProtection password="C72F" sheet="1" objects="1" scenarios="1"/>
  <mergeCells count="7">
    <mergeCell ref="J25:J31"/>
    <mergeCell ref="A53:J53"/>
    <mergeCell ref="F3:J3"/>
    <mergeCell ref="A1:E1"/>
    <mergeCell ref="D12:J12"/>
    <mergeCell ref="A12:C12"/>
    <mergeCell ref="A14:J1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50"/>
  <sheetViews>
    <sheetView showZeros="0" view="pageBreakPreview" zoomScale="115" zoomScaleSheetLayoutView="115"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12.140625" style="0" customWidth="1"/>
    <col min="3" max="8" width="8.421875" style="0" customWidth="1"/>
    <col min="9" max="9" width="8.7109375" style="0" customWidth="1"/>
    <col min="10" max="11" width="8.421875" style="0" customWidth="1"/>
    <col min="12" max="12" width="39.8515625" style="0" customWidth="1"/>
    <col min="13" max="13" width="39.140625" style="0" customWidth="1"/>
    <col min="14" max="14" width="50.7109375" style="0" customWidth="1"/>
    <col min="15" max="15" width="78.00390625" style="0" customWidth="1"/>
  </cols>
  <sheetData>
    <row r="1" spans="1:6" ht="24.75" customHeight="1">
      <c r="A1" s="356" t="s">
        <v>115</v>
      </c>
      <c r="B1" s="357"/>
      <c r="C1" s="357"/>
      <c r="D1" s="357"/>
      <c r="E1" s="357"/>
      <c r="F1" s="358"/>
    </row>
    <row r="2" ht="9.75" customHeight="1">
      <c r="B2" s="143"/>
    </row>
    <row r="3" spans="1:11" ht="15" customHeight="1" thickBot="1">
      <c r="A3" s="382" t="s">
        <v>101</v>
      </c>
      <c r="B3" s="406"/>
      <c r="C3" s="5"/>
      <c r="D3" s="5"/>
      <c r="E3" s="5"/>
      <c r="F3" s="5"/>
      <c r="G3" s="5"/>
      <c r="H3" s="5"/>
      <c r="I3" s="5"/>
      <c r="J3" s="5"/>
      <c r="K3" s="5"/>
    </row>
    <row r="4" spans="1:12" ht="15" customHeight="1" thickBot="1">
      <c r="A4" s="407" t="s">
        <v>76</v>
      </c>
      <c r="B4" s="408"/>
      <c r="C4" s="167">
        <f>'1. Erosion Haz + Basins'!B13</f>
        <v>0</v>
      </c>
      <c r="D4" s="168">
        <f>'1. Erosion Haz + Basins'!C13</f>
        <v>0</v>
      </c>
      <c r="E4" s="168">
        <f>'1. Erosion Haz + Basins'!D13</f>
        <v>0</v>
      </c>
      <c r="F4" s="168">
        <f>'1. Erosion Haz + Basins'!E13</f>
        <v>0</v>
      </c>
      <c r="G4" s="168">
        <f>'1. Erosion Haz + Basins'!F13</f>
        <v>0</v>
      </c>
      <c r="H4" s="169">
        <f>'1. Erosion Haz + Basins'!G13</f>
        <v>0</v>
      </c>
      <c r="I4" s="389" t="s">
        <v>127</v>
      </c>
      <c r="J4" s="390"/>
      <c r="K4" s="391"/>
      <c r="L4" s="4"/>
    </row>
    <row r="5" spans="1:12" ht="15" customHeight="1">
      <c r="A5" s="409" t="s">
        <v>77</v>
      </c>
      <c r="B5" s="410"/>
      <c r="C5" s="148">
        <f>'1. Erosion Haz + Basins'!B14</f>
        <v>0</v>
      </c>
      <c r="D5" s="147">
        <f>'1. Erosion Haz + Basins'!C14</f>
        <v>0</v>
      </c>
      <c r="E5" s="147">
        <f>'1. Erosion Haz + Basins'!D14</f>
        <v>0</v>
      </c>
      <c r="F5" s="147">
        <f>'1. Erosion Haz + Basins'!E14</f>
        <v>0</v>
      </c>
      <c r="G5" s="147">
        <f>'1. Erosion Haz + Basins'!F14</f>
        <v>0</v>
      </c>
      <c r="H5" s="149">
        <f>'1. Erosion Haz + Basins'!G14</f>
        <v>0</v>
      </c>
      <c r="I5" s="392" t="s">
        <v>127</v>
      </c>
      <c r="J5" s="393"/>
      <c r="K5" s="394"/>
      <c r="L5" s="4"/>
    </row>
    <row r="6" spans="1:12" ht="15" customHeight="1" thickBot="1">
      <c r="A6" s="419" t="s">
        <v>78</v>
      </c>
      <c r="B6" s="420"/>
      <c r="C6" s="105">
        <f aca="true" t="shared" si="0" ref="C6:H6">ROUND((60*0.76*(C5/100)^0.38)/2,0)</f>
        <v>0</v>
      </c>
      <c r="D6" s="106">
        <f t="shared" si="0"/>
        <v>0</v>
      </c>
      <c r="E6" s="106">
        <f t="shared" si="0"/>
        <v>0</v>
      </c>
      <c r="F6" s="106">
        <f t="shared" si="0"/>
        <v>0</v>
      </c>
      <c r="G6" s="106">
        <f t="shared" si="0"/>
        <v>0</v>
      </c>
      <c r="H6" s="110">
        <f t="shared" si="0"/>
        <v>0</v>
      </c>
      <c r="I6" s="416" t="s">
        <v>128</v>
      </c>
      <c r="J6" s="417"/>
      <c r="K6" s="418"/>
      <c r="L6" s="4"/>
    </row>
    <row r="7" spans="1:11" ht="10.5" customHeight="1">
      <c r="A7" s="22"/>
      <c r="B7" s="22"/>
      <c r="C7" s="145"/>
      <c r="D7" s="145"/>
      <c r="E7" s="145"/>
      <c r="F7" s="145"/>
      <c r="G7" s="145"/>
      <c r="H7" s="145"/>
      <c r="I7" s="150"/>
      <c r="J7" s="150"/>
      <c r="K7" s="150"/>
    </row>
    <row r="8" spans="1:13" ht="15" customHeight="1" thickBot="1">
      <c r="A8" s="411" t="s">
        <v>157</v>
      </c>
      <c r="B8" s="412"/>
      <c r="C8" s="412"/>
      <c r="D8" s="413"/>
      <c r="E8" s="151"/>
      <c r="F8" s="151"/>
      <c r="G8" s="151"/>
      <c r="H8" s="151"/>
      <c r="I8" s="152"/>
      <c r="J8" s="152"/>
      <c r="K8" s="152"/>
      <c r="M8" s="5"/>
    </row>
    <row r="9" spans="1:17" ht="15" customHeight="1">
      <c r="A9" s="153">
        <v>1</v>
      </c>
      <c r="B9" s="156" t="s">
        <v>123</v>
      </c>
      <c r="C9" s="234"/>
      <c r="D9" s="235"/>
      <c r="E9" s="235"/>
      <c r="F9" s="235"/>
      <c r="G9" s="235"/>
      <c r="H9" s="236"/>
      <c r="I9" s="368" t="s">
        <v>110</v>
      </c>
      <c r="J9" s="369"/>
      <c r="K9" s="370"/>
      <c r="L9" s="193"/>
      <c r="M9" s="194"/>
      <c r="N9" s="4"/>
      <c r="P9" s="39" t="s">
        <v>118</v>
      </c>
      <c r="Q9" s="39" t="s">
        <v>119</v>
      </c>
    </row>
    <row r="10" spans="1:17" ht="15" customHeight="1">
      <c r="A10" s="270">
        <v>2</v>
      </c>
      <c r="B10" s="271" t="s">
        <v>123</v>
      </c>
      <c r="C10" s="272"/>
      <c r="D10" s="273"/>
      <c r="E10" s="273"/>
      <c r="F10" s="273"/>
      <c r="G10" s="273"/>
      <c r="H10" s="274"/>
      <c r="I10" s="371"/>
      <c r="J10" s="372"/>
      <c r="K10" s="373"/>
      <c r="L10" s="193"/>
      <c r="M10" s="194"/>
      <c r="N10" s="4"/>
      <c r="P10" s="39">
        <v>1</v>
      </c>
      <c r="Q10" s="39">
        <v>0.8</v>
      </c>
    </row>
    <row r="11" spans="1:17" ht="15" customHeight="1">
      <c r="A11" s="154">
        <v>5</v>
      </c>
      <c r="B11" s="157" t="s">
        <v>123</v>
      </c>
      <c r="C11" s="237"/>
      <c r="D11" s="238"/>
      <c r="E11" s="238"/>
      <c r="F11" s="238"/>
      <c r="G11" s="238"/>
      <c r="H11" s="239"/>
      <c r="I11" s="371"/>
      <c r="J11" s="372"/>
      <c r="K11" s="373"/>
      <c r="L11" s="193"/>
      <c r="M11" s="194"/>
      <c r="N11" s="4"/>
      <c r="P11" s="39">
        <v>2</v>
      </c>
      <c r="Q11" s="39">
        <v>0.85</v>
      </c>
    </row>
    <row r="12" spans="1:17" ht="15" customHeight="1">
      <c r="A12" s="154">
        <v>10</v>
      </c>
      <c r="B12" s="157" t="s">
        <v>123</v>
      </c>
      <c r="C12" s="237"/>
      <c r="D12" s="238"/>
      <c r="E12" s="238"/>
      <c r="F12" s="238"/>
      <c r="G12" s="238"/>
      <c r="H12" s="239"/>
      <c r="I12" s="371"/>
      <c r="J12" s="372"/>
      <c r="K12" s="373"/>
      <c r="L12" s="193"/>
      <c r="M12" s="194"/>
      <c r="N12" s="4"/>
      <c r="P12" s="39">
        <v>5</v>
      </c>
      <c r="Q12" s="39">
        <v>0.95</v>
      </c>
    </row>
    <row r="13" spans="1:17" ht="15" customHeight="1">
      <c r="A13" s="154">
        <v>20</v>
      </c>
      <c r="B13" s="157" t="s">
        <v>123</v>
      </c>
      <c r="C13" s="237"/>
      <c r="D13" s="238"/>
      <c r="E13" s="238"/>
      <c r="F13" s="238"/>
      <c r="G13" s="238"/>
      <c r="H13" s="239"/>
      <c r="I13" s="371"/>
      <c r="J13" s="372"/>
      <c r="K13" s="373"/>
      <c r="L13" s="193"/>
      <c r="M13" s="194"/>
      <c r="N13" s="4"/>
      <c r="P13" s="39">
        <v>10</v>
      </c>
      <c r="Q13" s="39">
        <v>1</v>
      </c>
    </row>
    <row r="14" spans="1:17" ht="15" customHeight="1">
      <c r="A14" s="154">
        <v>50</v>
      </c>
      <c r="B14" s="157" t="s">
        <v>123</v>
      </c>
      <c r="C14" s="237"/>
      <c r="D14" s="238"/>
      <c r="E14" s="238"/>
      <c r="F14" s="238"/>
      <c r="G14" s="238"/>
      <c r="H14" s="239"/>
      <c r="I14" s="371"/>
      <c r="J14" s="372"/>
      <c r="K14" s="373"/>
      <c r="L14" s="193"/>
      <c r="M14" s="194"/>
      <c r="N14" s="4"/>
      <c r="P14" s="39">
        <v>20</v>
      </c>
      <c r="Q14" s="39">
        <v>1.05</v>
      </c>
    </row>
    <row r="15" spans="1:17" ht="15" customHeight="1" thickBot="1">
      <c r="A15" s="155">
        <v>100</v>
      </c>
      <c r="B15" s="158" t="s">
        <v>123</v>
      </c>
      <c r="C15" s="240"/>
      <c r="D15" s="241"/>
      <c r="E15" s="241"/>
      <c r="F15" s="241"/>
      <c r="G15" s="241"/>
      <c r="H15" s="242"/>
      <c r="I15" s="374"/>
      <c r="J15" s="375"/>
      <c r="K15" s="376"/>
      <c r="M15" s="22"/>
      <c r="P15" s="39">
        <v>50</v>
      </c>
      <c r="Q15" s="39">
        <v>1.15</v>
      </c>
    </row>
    <row r="16" spans="1:17" ht="9.75" customHeight="1" thickBot="1">
      <c r="A16" s="159"/>
      <c r="B16" s="113"/>
      <c r="C16" s="160"/>
      <c r="D16" s="160"/>
      <c r="E16" s="160"/>
      <c r="F16" s="160"/>
      <c r="G16" s="160"/>
      <c r="H16" s="160"/>
      <c r="I16" s="161"/>
      <c r="J16" s="161"/>
      <c r="K16" s="161"/>
      <c r="L16" s="4"/>
      <c r="P16" s="39">
        <v>100</v>
      </c>
      <c r="Q16" s="39">
        <v>1.2</v>
      </c>
    </row>
    <row r="17" spans="1:11" ht="15" customHeight="1" thickBot="1">
      <c r="A17" s="404" t="s">
        <v>130</v>
      </c>
      <c r="B17" s="405"/>
      <c r="C17" s="227"/>
      <c r="D17" s="228"/>
      <c r="E17" s="228"/>
      <c r="F17" s="228"/>
      <c r="G17" s="228"/>
      <c r="H17" s="229"/>
      <c r="I17" s="389" t="s">
        <v>109</v>
      </c>
      <c r="J17" s="390"/>
      <c r="K17" s="391"/>
    </row>
    <row r="18" spans="1:12" ht="10.5" customHeight="1" thickBot="1">
      <c r="A18" s="159"/>
      <c r="B18" s="83"/>
      <c r="C18" s="226"/>
      <c r="D18" s="226"/>
      <c r="E18" s="226"/>
      <c r="F18" s="226"/>
      <c r="G18" s="226"/>
      <c r="H18" s="226"/>
      <c r="I18" s="161"/>
      <c r="J18" s="161"/>
      <c r="K18" s="161"/>
      <c r="L18" s="4"/>
    </row>
    <row r="19" spans="1:11" ht="15" customHeight="1" thickBot="1">
      <c r="A19" s="404" t="s">
        <v>120</v>
      </c>
      <c r="B19" s="405"/>
      <c r="C19" s="227">
        <v>100</v>
      </c>
      <c r="D19" s="228">
        <v>100</v>
      </c>
      <c r="E19" s="228">
        <v>100</v>
      </c>
      <c r="F19" s="228">
        <v>100</v>
      </c>
      <c r="G19" s="228">
        <v>100</v>
      </c>
      <c r="H19" s="229">
        <v>100</v>
      </c>
      <c r="I19" s="389" t="s">
        <v>124</v>
      </c>
      <c r="J19" s="390"/>
      <c r="K19" s="391"/>
    </row>
    <row r="20" spans="1:12" ht="10.5" customHeight="1" thickBot="1">
      <c r="A20" s="159"/>
      <c r="B20" s="113"/>
      <c r="C20" s="226"/>
      <c r="D20" s="226"/>
      <c r="E20" s="226"/>
      <c r="F20" s="226"/>
      <c r="G20" s="226"/>
      <c r="H20" s="226"/>
      <c r="I20" s="161"/>
      <c r="J20" s="161"/>
      <c r="K20" s="161"/>
      <c r="L20" s="4"/>
    </row>
    <row r="21" spans="1:11" ht="15" customHeight="1" thickBot="1">
      <c r="A21" s="414" t="s">
        <v>121</v>
      </c>
      <c r="B21" s="415"/>
      <c r="C21" s="230">
        <f aca="true" t="shared" si="1" ref="C21:H21">VLOOKUP(C19,$P$10:$Q$16,2)</f>
        <v>1.2</v>
      </c>
      <c r="D21" s="231">
        <f t="shared" si="1"/>
        <v>1.2</v>
      </c>
      <c r="E21" s="231">
        <f t="shared" si="1"/>
        <v>1.2</v>
      </c>
      <c r="F21" s="231">
        <f t="shared" si="1"/>
        <v>1.2</v>
      </c>
      <c r="G21" s="231">
        <f t="shared" si="1"/>
        <v>1.2</v>
      </c>
      <c r="H21" s="232">
        <f t="shared" si="1"/>
        <v>1.2</v>
      </c>
      <c r="I21" s="389" t="s">
        <v>125</v>
      </c>
      <c r="J21" s="390"/>
      <c r="K21" s="391"/>
    </row>
    <row r="22" spans="1:12" ht="10.5" customHeight="1" thickBot="1">
      <c r="A22" s="159"/>
      <c r="B22" s="162"/>
      <c r="C22" s="226"/>
      <c r="D22" s="226"/>
      <c r="E22" s="226"/>
      <c r="F22" s="226"/>
      <c r="G22" s="226"/>
      <c r="H22" s="226"/>
      <c r="I22" s="161"/>
      <c r="J22" s="161"/>
      <c r="K22" s="161"/>
      <c r="L22" s="4"/>
    </row>
    <row r="23" spans="1:16" ht="14.25" thickBot="1">
      <c r="A23" s="414" t="s">
        <v>122</v>
      </c>
      <c r="B23" s="415"/>
      <c r="C23" s="230">
        <f>ROUND(0.00278*C21*C17*VLOOKUP(C19,$A$9:$H$15,3)*C5,3)</f>
        <v>0</v>
      </c>
      <c r="D23" s="231">
        <f>ROUND(0.00278*D21*D17*VLOOKUP(D19,$A$9:$H$15,4)*D5,3)</f>
        <v>0</v>
      </c>
      <c r="E23" s="231">
        <f>ROUND(0.00278*E21*E17*VLOOKUP(E19,$A$9:$H$15,5)*E5,3)</f>
        <v>0</v>
      </c>
      <c r="F23" s="231">
        <f>ROUND(0.00278*F21*F17*VLOOKUP(F19,$A$9:$H$15,6)*F5,3)</f>
        <v>0</v>
      </c>
      <c r="G23" s="231">
        <f>ROUND(0.00278*G21*G17*VLOOKUP(G19,$A$9:$H$15,7)*G5,3)</f>
        <v>0</v>
      </c>
      <c r="H23" s="232">
        <f>ROUND(0.00278*H21*H17*VLOOKUP(H19,$A$9:$H$15,8)*H5,3)</f>
        <v>0</v>
      </c>
      <c r="I23" s="389" t="s">
        <v>126</v>
      </c>
      <c r="J23" s="390"/>
      <c r="K23" s="391"/>
      <c r="L23" s="5"/>
      <c r="P23" t="s">
        <v>118</v>
      </c>
    </row>
    <row r="24" spans="1:16" ht="13.5">
      <c r="A24" s="22"/>
      <c r="B24" s="162"/>
      <c r="C24" s="164"/>
      <c r="D24" s="164"/>
      <c r="E24" s="164"/>
      <c r="F24" s="164"/>
      <c r="G24" s="164"/>
      <c r="H24" s="164"/>
      <c r="I24" s="161"/>
      <c r="J24" s="161"/>
      <c r="K24" s="161"/>
      <c r="L24" s="21"/>
      <c r="P24">
        <v>0.5</v>
      </c>
    </row>
    <row r="25" spans="1:16" ht="13.5">
      <c r="A25" s="195"/>
      <c r="B25" s="196"/>
      <c r="C25" s="197"/>
      <c r="D25" s="197"/>
      <c r="E25" s="197"/>
      <c r="F25" s="197"/>
      <c r="G25" s="197"/>
      <c r="H25" s="197"/>
      <c r="I25" s="198"/>
      <c r="J25" s="198"/>
      <c r="K25" s="198"/>
      <c r="L25" s="21"/>
      <c r="P25">
        <v>1</v>
      </c>
    </row>
    <row r="26" spans="1:16" ht="13.5">
      <c r="A26" s="195"/>
      <c r="B26" s="196"/>
      <c r="C26" s="197"/>
      <c r="D26" s="197"/>
      <c r="E26" s="197"/>
      <c r="F26" s="197"/>
      <c r="G26" s="197"/>
      <c r="H26" s="197"/>
      <c r="I26" s="198"/>
      <c r="J26" s="198"/>
      <c r="K26" s="198"/>
      <c r="L26" s="192"/>
      <c r="M26" s="4"/>
      <c r="P26">
        <v>2</v>
      </c>
    </row>
    <row r="27" spans="1:12" ht="18" customHeight="1">
      <c r="A27" s="163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65"/>
    </row>
    <row r="28" spans="1:12" ht="18" customHeight="1">
      <c r="A28" s="421" t="s">
        <v>129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165"/>
    </row>
    <row r="29" spans="1:12" ht="18">
      <c r="A29" s="186"/>
      <c r="B29" s="187"/>
      <c r="C29" s="187"/>
      <c r="D29" s="187"/>
      <c r="E29" s="187"/>
      <c r="F29" s="187"/>
      <c r="G29" s="187"/>
      <c r="H29" s="187"/>
      <c r="I29" s="166"/>
      <c r="J29" s="166"/>
      <c r="K29" s="166"/>
      <c r="L29" s="79"/>
    </row>
    <row r="30" spans="1:12" ht="15" customHeight="1" thickBot="1">
      <c r="A30" s="384" t="s">
        <v>147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79"/>
    </row>
    <row r="31" spans="1:12" ht="15" customHeight="1" thickBot="1">
      <c r="A31" s="426" t="s">
        <v>76</v>
      </c>
      <c r="B31" s="427"/>
      <c r="C31" s="172">
        <f>'1. Erosion Haz + Basins'!B13</f>
        <v>0</v>
      </c>
      <c r="D31" s="188">
        <f>'1. Erosion Haz + Basins'!C13</f>
        <v>0</v>
      </c>
      <c r="E31" s="188">
        <f>'1. Erosion Haz + Basins'!D13</f>
        <v>0</v>
      </c>
      <c r="F31" s="188">
        <f>'1. Erosion Haz + Basins'!E13</f>
        <v>0</v>
      </c>
      <c r="G31" s="188">
        <f>'1. Erosion Haz + Basins'!F13</f>
        <v>0</v>
      </c>
      <c r="H31" s="189">
        <f>'1. Erosion Haz + Basins'!G13</f>
        <v>0</v>
      </c>
      <c r="I31" s="428" t="s">
        <v>127</v>
      </c>
      <c r="J31" s="429"/>
      <c r="K31" s="430"/>
      <c r="L31" s="79"/>
    </row>
    <row r="32" spans="1:12" ht="15" customHeight="1">
      <c r="A32" s="431" t="s">
        <v>77</v>
      </c>
      <c r="B32" s="432"/>
      <c r="C32" s="144">
        <f>'1. Erosion Haz + Basins'!B14</f>
        <v>0</v>
      </c>
      <c r="D32" s="190">
        <f>'1. Erosion Haz + Basins'!C14</f>
        <v>0</v>
      </c>
      <c r="E32" s="190">
        <f>'1. Erosion Haz + Basins'!D14</f>
        <v>0</v>
      </c>
      <c r="F32" s="190">
        <f>'1. Erosion Haz + Basins'!E14</f>
        <v>0</v>
      </c>
      <c r="G32" s="190">
        <f>'1. Erosion Haz + Basins'!F14</f>
        <v>0</v>
      </c>
      <c r="H32" s="191">
        <f>'1. Erosion Haz + Basins'!G14</f>
        <v>0</v>
      </c>
      <c r="I32" s="433" t="s">
        <v>127</v>
      </c>
      <c r="J32" s="434"/>
      <c r="K32" s="435"/>
      <c r="L32" s="79"/>
    </row>
    <row r="33" spans="1:12" ht="15" customHeight="1">
      <c r="A33" s="363" t="s">
        <v>131</v>
      </c>
      <c r="B33" s="364"/>
      <c r="C33" s="179">
        <f>'1. Erosion Haz + Basins'!B24</f>
        <v>0</v>
      </c>
      <c r="D33" s="146">
        <f>'1. Erosion Haz + Basins'!C24</f>
        <v>0</v>
      </c>
      <c r="E33" s="146">
        <f>'1. Erosion Haz + Basins'!D24</f>
        <v>0</v>
      </c>
      <c r="F33" s="146">
        <f>'1. Erosion Haz + Basins'!E24</f>
        <v>0</v>
      </c>
      <c r="G33" s="146">
        <f>'1. Erosion Haz + Basins'!F24</f>
        <v>0</v>
      </c>
      <c r="H33" s="180">
        <f>'1. Erosion Haz + Basins'!G24</f>
        <v>0</v>
      </c>
      <c r="I33" s="365" t="s">
        <v>127</v>
      </c>
      <c r="J33" s="366"/>
      <c r="K33" s="367"/>
      <c r="L33" s="79"/>
    </row>
    <row r="34" spans="1:12" ht="15" customHeight="1">
      <c r="A34" s="377" t="s">
        <v>154</v>
      </c>
      <c r="B34" s="378"/>
      <c r="C34" s="278"/>
      <c r="D34" s="280"/>
      <c r="E34" s="281"/>
      <c r="F34" s="281"/>
      <c r="G34" s="281"/>
      <c r="H34" s="279"/>
      <c r="I34" s="386" t="s">
        <v>155</v>
      </c>
      <c r="J34" s="387"/>
      <c r="K34" s="388"/>
      <c r="L34" s="79"/>
    </row>
    <row r="35" spans="1:12" ht="15" customHeight="1">
      <c r="A35" s="363" t="s">
        <v>153</v>
      </c>
      <c r="B35" s="364"/>
      <c r="C35" s="275">
        <f aca="true" t="shared" si="2" ref="C35:H35">IF(C34=0.5,ROUND(0.5*0.00278*C9*C17*C32*0.8,3),IF(C34=1,ROUND(0.00278*C9*C17*C32*0.8,3),IF(C34=2,ROUND(0.00278*C10*C17*C32*0.85,3),0)))</f>
        <v>0</v>
      </c>
      <c r="D35" s="173">
        <f t="shared" si="2"/>
        <v>0</v>
      </c>
      <c r="E35" s="276">
        <f t="shared" si="2"/>
        <v>0</v>
      </c>
      <c r="F35" s="277">
        <f t="shared" si="2"/>
        <v>0</v>
      </c>
      <c r="G35" s="277">
        <f t="shared" si="2"/>
        <v>0</v>
      </c>
      <c r="H35" s="182">
        <f t="shared" si="2"/>
        <v>0</v>
      </c>
      <c r="I35" s="365" t="s">
        <v>156</v>
      </c>
      <c r="J35" s="366"/>
      <c r="K35" s="367"/>
      <c r="L35" s="79"/>
    </row>
    <row r="36" spans="1:12" ht="15" customHeight="1">
      <c r="A36" s="363" t="s">
        <v>17</v>
      </c>
      <c r="B36" s="364"/>
      <c r="C36" s="243">
        <v>4100</v>
      </c>
      <c r="D36" s="244">
        <v>4100</v>
      </c>
      <c r="E36" s="244">
        <v>4100</v>
      </c>
      <c r="F36" s="244">
        <v>4100</v>
      </c>
      <c r="G36" s="244">
        <v>4100</v>
      </c>
      <c r="H36" s="245">
        <v>4100</v>
      </c>
      <c r="I36" s="365" t="s">
        <v>134</v>
      </c>
      <c r="J36" s="366"/>
      <c r="K36" s="367"/>
      <c r="L36" s="79"/>
    </row>
    <row r="37" spans="1:12" ht="15" customHeight="1" thickBot="1">
      <c r="A37" s="396" t="s">
        <v>132</v>
      </c>
      <c r="B37" s="402"/>
      <c r="C37" s="246">
        <v>0.6</v>
      </c>
      <c r="D37" s="247">
        <v>0.6</v>
      </c>
      <c r="E37" s="247">
        <v>0.6</v>
      </c>
      <c r="F37" s="247">
        <v>0.6</v>
      </c>
      <c r="G37" s="247">
        <v>0.6</v>
      </c>
      <c r="H37" s="248">
        <v>0.6</v>
      </c>
      <c r="I37" s="379" t="s">
        <v>146</v>
      </c>
      <c r="J37" s="380"/>
      <c r="K37" s="381"/>
      <c r="L37" s="79"/>
    </row>
    <row r="38" spans="1:12" ht="15" customHeight="1">
      <c r="A38" s="176"/>
      <c r="B38" s="176"/>
      <c r="C38" s="233"/>
      <c r="D38" s="233"/>
      <c r="E38" s="233"/>
      <c r="F38" s="233"/>
      <c r="G38" s="233"/>
      <c r="H38" s="233"/>
      <c r="I38" s="171"/>
      <c r="J38" s="171"/>
      <c r="K38" s="171"/>
      <c r="L38" s="79"/>
    </row>
    <row r="39" spans="1:12" ht="15" customHeight="1" thickBot="1">
      <c r="A39" s="359" t="s">
        <v>148</v>
      </c>
      <c r="B39" s="359"/>
      <c r="C39" s="359"/>
      <c r="D39" s="359"/>
      <c r="E39" s="233"/>
      <c r="F39" s="233"/>
      <c r="G39" s="233"/>
      <c r="H39" s="233"/>
      <c r="I39" s="171"/>
      <c r="J39" s="171"/>
      <c r="K39" s="171"/>
      <c r="L39" s="79"/>
    </row>
    <row r="40" spans="1:12" ht="15" customHeight="1">
      <c r="A40" s="400" t="s">
        <v>133</v>
      </c>
      <c r="B40" s="401"/>
      <c r="C40" s="436" t="str">
        <f aca="true" t="shared" si="3" ref="C40:H40">IF(C33="c",C36*C35,"Not Type C")</f>
        <v>Not Type C</v>
      </c>
      <c r="D40" s="437" t="str">
        <f t="shared" si="3"/>
        <v>Not Type C</v>
      </c>
      <c r="E40" s="437" t="str">
        <f t="shared" si="3"/>
        <v>Not Type C</v>
      </c>
      <c r="F40" s="437" t="str">
        <f t="shared" si="3"/>
        <v>Not Type C</v>
      </c>
      <c r="G40" s="437" t="str">
        <f t="shared" si="3"/>
        <v>Not Type C</v>
      </c>
      <c r="H40" s="49" t="str">
        <f t="shared" si="3"/>
        <v>Not Type C</v>
      </c>
      <c r="I40" s="403" t="s">
        <v>145</v>
      </c>
      <c r="J40" s="361"/>
      <c r="K40" s="362"/>
      <c r="L40" s="79"/>
    </row>
    <row r="41" spans="1:12" ht="15" customHeight="1">
      <c r="A41" s="377" t="s">
        <v>135</v>
      </c>
      <c r="B41" s="378"/>
      <c r="C41" s="438" t="str">
        <f aca="true" t="shared" si="4" ref="C41:H41">IF(C33="c",ROUND(C40*C37,1),"Not Type C")</f>
        <v>Not Type C</v>
      </c>
      <c r="D41" s="439" t="str">
        <f t="shared" si="4"/>
        <v>Not Type C</v>
      </c>
      <c r="E41" s="439" t="str">
        <f t="shared" si="4"/>
        <v>Not Type C</v>
      </c>
      <c r="F41" s="439" t="str">
        <f t="shared" si="4"/>
        <v>Not Type C</v>
      </c>
      <c r="G41" s="439" t="str">
        <f t="shared" si="4"/>
        <v>Not Type C</v>
      </c>
      <c r="H41" s="440" t="str">
        <f t="shared" si="4"/>
        <v>Not Type C</v>
      </c>
      <c r="I41" s="423" t="s">
        <v>145</v>
      </c>
      <c r="J41" s="424"/>
      <c r="K41" s="425"/>
      <c r="L41" s="79"/>
    </row>
    <row r="42" spans="1:12" ht="15" customHeight="1">
      <c r="A42" s="363" t="s">
        <v>136</v>
      </c>
      <c r="B42" s="364"/>
      <c r="C42" s="441" t="str">
        <f>IF(C33="c",ROUND('1. Erosion Haz + Basins'!B49*0.17*'1. Erosion Haz + Basins'!B15,1),"Not Type C")</f>
        <v>Not Type C</v>
      </c>
      <c r="D42" s="442" t="str">
        <f>IF(D33="c",ROUND('1. Erosion Haz + Basins'!C49*0.17*'1. Erosion Haz + Basins'!C15,1),"Not Type C")</f>
        <v>Not Type C</v>
      </c>
      <c r="E42" s="442" t="str">
        <f>IF(E33="c",ROUND('1. Erosion Haz + Basins'!D49*0.17*'1. Erosion Haz + Basins'!D15,1),"Not Type C")</f>
        <v>Not Type C</v>
      </c>
      <c r="F42" s="443" t="str">
        <f>IF(F33="c",ROUND('1. Erosion Haz + Basins'!E49*0.17*'1. Erosion Haz + Basins'!E15,1),"Not Type C")</f>
        <v>Not Type C</v>
      </c>
      <c r="G42" s="444" t="str">
        <f>IF(G33="c",ROUND('1. Erosion Haz + Basins'!F49*0.17*'1. Erosion Haz + Basins'!F15,1),"Not Type C")</f>
        <v>Not Type C</v>
      </c>
      <c r="H42" s="445" t="str">
        <f>IF(H33="c",ROUND('1. Erosion Haz + Basins'!G49*0.17*'1. Erosion Haz + Basins'!G15,1),"Not Type C")</f>
        <v>Not Type C</v>
      </c>
      <c r="I42" s="365" t="s">
        <v>145</v>
      </c>
      <c r="J42" s="366"/>
      <c r="K42" s="367"/>
      <c r="L42" s="79"/>
    </row>
    <row r="43" spans="1:12" ht="15" customHeight="1" thickBot="1">
      <c r="A43" s="396" t="s">
        <v>137</v>
      </c>
      <c r="B43" s="402"/>
      <c r="C43" s="446" t="str">
        <f aca="true" t="shared" si="5" ref="C43:H43">IF(C33="c",C42+C41,"Not Type C")</f>
        <v>Not Type C</v>
      </c>
      <c r="D43" s="447" t="str">
        <f t="shared" si="5"/>
        <v>Not Type C</v>
      </c>
      <c r="E43" s="447" t="str">
        <f t="shared" si="5"/>
        <v>Not Type C</v>
      </c>
      <c r="F43" s="447" t="str">
        <f t="shared" si="5"/>
        <v>Not Type C</v>
      </c>
      <c r="G43" s="447" t="str">
        <f t="shared" si="5"/>
        <v>Not Type C</v>
      </c>
      <c r="H43" s="448" t="str">
        <f t="shared" si="5"/>
        <v>Not Type C</v>
      </c>
      <c r="I43" s="379" t="s">
        <v>145</v>
      </c>
      <c r="J43" s="380"/>
      <c r="K43" s="381"/>
      <c r="L43" s="79"/>
    </row>
    <row r="44" spans="1:12" ht="15" customHeight="1">
      <c r="A44" s="175"/>
      <c r="B44" s="176"/>
      <c r="C44" s="171"/>
      <c r="D44" s="171"/>
      <c r="E44" s="171"/>
      <c r="F44" s="171"/>
      <c r="G44" s="171"/>
      <c r="H44" s="171"/>
      <c r="I44" s="171"/>
      <c r="J44" s="171"/>
      <c r="K44" s="171"/>
      <c r="L44" s="79"/>
    </row>
    <row r="45" spans="1:12" ht="15" customHeight="1" thickBot="1">
      <c r="A45" s="382" t="s">
        <v>139</v>
      </c>
      <c r="B45" s="383"/>
      <c r="C45" s="170"/>
      <c r="D45" s="170"/>
      <c r="E45" s="170"/>
      <c r="F45" s="170"/>
      <c r="G45" s="170"/>
      <c r="H45" s="170"/>
      <c r="I45" s="171"/>
      <c r="J45" s="171"/>
      <c r="K45" s="171"/>
      <c r="L45" s="79"/>
    </row>
    <row r="46" spans="1:12" ht="15" customHeight="1">
      <c r="A46" s="354" t="s">
        <v>140</v>
      </c>
      <c r="B46" s="355"/>
      <c r="C46" s="249">
        <v>3</v>
      </c>
      <c r="D46" s="250">
        <v>3</v>
      </c>
      <c r="E46" s="250">
        <v>3</v>
      </c>
      <c r="F46" s="250">
        <v>3</v>
      </c>
      <c r="G46" s="250">
        <v>3</v>
      </c>
      <c r="H46" s="251">
        <v>3</v>
      </c>
      <c r="I46" s="360" t="s">
        <v>141</v>
      </c>
      <c r="J46" s="361"/>
      <c r="K46" s="362"/>
      <c r="L46" s="79"/>
    </row>
    <row r="47" spans="1:12" ht="15" customHeight="1">
      <c r="A47" s="363" t="s">
        <v>142</v>
      </c>
      <c r="B47" s="395"/>
      <c r="C47" s="181" t="str">
        <f aca="true" t="shared" si="6" ref="C47:H47">IF(C33="c",ROUND((C46*C40)^0.5,1),"N/A")</f>
        <v>N/A</v>
      </c>
      <c r="D47" s="173" t="str">
        <f t="shared" si="6"/>
        <v>N/A</v>
      </c>
      <c r="E47" s="173" t="str">
        <f t="shared" si="6"/>
        <v>N/A</v>
      </c>
      <c r="F47" s="173" t="str">
        <f t="shared" si="6"/>
        <v>N/A</v>
      </c>
      <c r="G47" s="173" t="str">
        <f t="shared" si="6"/>
        <v>N/A</v>
      </c>
      <c r="H47" s="182" t="str">
        <f t="shared" si="6"/>
        <v>N/A</v>
      </c>
      <c r="I47" s="398" t="s">
        <v>144</v>
      </c>
      <c r="J47" s="366"/>
      <c r="K47" s="367"/>
      <c r="L47" s="79"/>
    </row>
    <row r="48" spans="1:12" ht="14.25" thickBot="1">
      <c r="A48" s="396" t="s">
        <v>143</v>
      </c>
      <c r="B48" s="397"/>
      <c r="C48" s="183" t="str">
        <f aca="true" t="shared" si="7" ref="C48:H48">IF(C33="c",ROUND(IF(C46&lt;1,"",(C40/C46)^0.5),1),"N/A")</f>
        <v>N/A</v>
      </c>
      <c r="D48" s="184" t="str">
        <f t="shared" si="7"/>
        <v>N/A</v>
      </c>
      <c r="E48" s="184" t="str">
        <f t="shared" si="7"/>
        <v>N/A</v>
      </c>
      <c r="F48" s="184" t="str">
        <f t="shared" si="7"/>
        <v>N/A</v>
      </c>
      <c r="G48" s="184" t="str">
        <f t="shared" si="7"/>
        <v>N/A</v>
      </c>
      <c r="H48" s="185" t="str">
        <f t="shared" si="7"/>
        <v>N/A</v>
      </c>
      <c r="I48" s="399"/>
      <c r="J48" s="380"/>
      <c r="K48" s="381"/>
      <c r="L48" s="79"/>
    </row>
    <row r="49" spans="1:11" ht="13.5">
      <c r="A49" s="150"/>
      <c r="B49" s="177"/>
      <c r="C49" s="171"/>
      <c r="D49" s="171"/>
      <c r="E49" s="171"/>
      <c r="F49" s="171"/>
      <c r="G49" s="174"/>
      <c r="H49" s="174"/>
      <c r="I49" s="178"/>
      <c r="J49" s="178"/>
      <c r="K49" s="178"/>
    </row>
    <row r="50" ht="12.75">
      <c r="B50" s="22"/>
    </row>
  </sheetData>
  <sheetProtection password="C72F" sheet="1" objects="1" scenarios="1"/>
  <mergeCells count="49">
    <mergeCell ref="A28:K28"/>
    <mergeCell ref="A43:B43"/>
    <mergeCell ref="I42:K42"/>
    <mergeCell ref="I43:K43"/>
    <mergeCell ref="A41:B41"/>
    <mergeCell ref="I41:K41"/>
    <mergeCell ref="A31:B31"/>
    <mergeCell ref="I31:K31"/>
    <mergeCell ref="A32:B32"/>
    <mergeCell ref="I32:K32"/>
    <mergeCell ref="A21:B21"/>
    <mergeCell ref="A23:B23"/>
    <mergeCell ref="I6:K6"/>
    <mergeCell ref="I17:K17"/>
    <mergeCell ref="I19:K19"/>
    <mergeCell ref="I21:K21"/>
    <mergeCell ref="I23:K23"/>
    <mergeCell ref="A6:B6"/>
    <mergeCell ref="A17:B17"/>
    <mergeCell ref="A19:B19"/>
    <mergeCell ref="A3:B3"/>
    <mergeCell ref="A4:B4"/>
    <mergeCell ref="A5:B5"/>
    <mergeCell ref="A8:D8"/>
    <mergeCell ref="I4:K4"/>
    <mergeCell ref="I5:K5"/>
    <mergeCell ref="A47:B47"/>
    <mergeCell ref="A48:B48"/>
    <mergeCell ref="I47:K48"/>
    <mergeCell ref="A36:B36"/>
    <mergeCell ref="I36:K36"/>
    <mergeCell ref="A40:B40"/>
    <mergeCell ref="A37:B37"/>
    <mergeCell ref="I40:K40"/>
    <mergeCell ref="I37:K37"/>
    <mergeCell ref="A42:B42"/>
    <mergeCell ref="A45:B45"/>
    <mergeCell ref="A30:K30"/>
    <mergeCell ref="I34:K34"/>
    <mergeCell ref="A46:B46"/>
    <mergeCell ref="A1:F1"/>
    <mergeCell ref="A39:D39"/>
    <mergeCell ref="I46:K46"/>
    <mergeCell ref="A33:B33"/>
    <mergeCell ref="I33:K33"/>
    <mergeCell ref="A35:B35"/>
    <mergeCell ref="I35:K35"/>
    <mergeCell ref="I9:K15"/>
    <mergeCell ref="A34:B34"/>
  </mergeCells>
  <dataValidations count="3">
    <dataValidation type="list" allowBlank="1" showInputMessage="1" showErrorMessage="1" sqref="D19:H19">
      <formula1>$P$10:$P$16</formula1>
    </dataValidation>
    <dataValidation type="list" allowBlank="1" showErrorMessage="1" sqref="C19">
      <formula1>$P$10:$P$16</formula1>
    </dataValidation>
    <dataValidation type="list" allowBlank="1" showInputMessage="1" showErrorMessage="1" sqref="C34:H34">
      <formula1>$P$24:$P$26</formula1>
    </dataValidation>
  </dataValidations>
  <printOptions/>
  <pageMargins left="0.7480314960629921" right="0.7480314960629921" top="0.984251968503937" bottom="0.984251968503937" header="0.4724409448818898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Macleod</cp:lastModifiedBy>
  <cp:lastPrinted>2011-06-08T23:28:21Z</cp:lastPrinted>
  <dcterms:created xsi:type="dcterms:W3CDTF">1999-11-02T22:16:09Z</dcterms:created>
  <dcterms:modified xsi:type="dcterms:W3CDTF">2011-06-08T23:35:47Z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